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CFI\For Website\"/>
    </mc:Choice>
  </mc:AlternateContent>
  <xr:revisionPtr revIDLastSave="0" documentId="13_ncr:1_{AE4EA9BD-7651-49AD-BA62-314B599AFEBC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Cover" sheetId="2" r:id="rId1"/>
    <sheet name="Mode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9" i="1" l="1"/>
  <c r="I139" i="1"/>
  <c r="J138" i="1"/>
  <c r="I138" i="1"/>
  <c r="H139" i="1"/>
  <c r="H138" i="1"/>
  <c r="J113" i="1"/>
  <c r="I113" i="1"/>
  <c r="H113" i="1"/>
  <c r="K101" i="1"/>
  <c r="L101" i="1" s="1"/>
  <c r="M101" i="1" s="1"/>
  <c r="N101" i="1" s="1"/>
  <c r="O101" i="1" s="1"/>
  <c r="K102" i="1"/>
  <c r="L102" i="1" s="1"/>
  <c r="M102" i="1" s="1"/>
  <c r="N102" i="1" s="1"/>
  <c r="O102" i="1" s="1"/>
  <c r="K76" i="1"/>
  <c r="L76" i="1" s="1"/>
  <c r="M76" i="1" s="1"/>
  <c r="N76" i="1" s="1"/>
  <c r="O76" i="1" s="1"/>
  <c r="K75" i="1"/>
  <c r="L75" i="1" s="1"/>
  <c r="M75" i="1" s="1"/>
  <c r="N75" i="1" s="1"/>
  <c r="O75" i="1" s="1"/>
  <c r="K74" i="1"/>
  <c r="L74" i="1" s="1"/>
  <c r="M74" i="1" s="1"/>
  <c r="N74" i="1" s="1"/>
  <c r="O74" i="1" s="1"/>
  <c r="I37" i="1"/>
  <c r="K57" i="1"/>
  <c r="L57" i="1" s="1"/>
  <c r="M57" i="1" s="1"/>
  <c r="N57" i="1" s="1"/>
  <c r="O57" i="1" s="1"/>
  <c r="K56" i="1"/>
  <c r="L56" i="1" s="1"/>
  <c r="K55" i="1"/>
  <c r="L55" i="1" s="1"/>
  <c r="M55" i="1" s="1"/>
  <c r="N55" i="1" s="1"/>
  <c r="O55" i="1" s="1"/>
  <c r="K243" i="1"/>
  <c r="K210" i="1"/>
  <c r="J205" i="1"/>
  <c r="I205" i="1"/>
  <c r="H205" i="1"/>
  <c r="H203" i="1"/>
  <c r="F199" i="1"/>
  <c r="O196" i="1"/>
  <c r="O211" i="1" s="1"/>
  <c r="N196" i="1"/>
  <c r="N204" i="1" s="1"/>
  <c r="M196" i="1"/>
  <c r="M204" i="1" s="1"/>
  <c r="L196" i="1"/>
  <c r="L204" i="1" s="1"/>
  <c r="K196" i="1"/>
  <c r="K211" i="1" s="1"/>
  <c r="J196" i="1"/>
  <c r="J204" i="1" s="1"/>
  <c r="I196" i="1"/>
  <c r="I204" i="1" s="1"/>
  <c r="H196" i="1"/>
  <c r="H204" i="1" s="1"/>
  <c r="J140" i="1" l="1"/>
  <c r="H140" i="1"/>
  <c r="I140" i="1"/>
  <c r="K204" i="1"/>
  <c r="O204" i="1"/>
  <c r="H206" i="1"/>
  <c r="I203" i="1" s="1"/>
  <c r="I206" i="1" s="1"/>
  <c r="J203" i="1" s="1"/>
  <c r="J206" i="1" s="1"/>
  <c r="K203" i="1" s="1"/>
  <c r="K212" i="1"/>
  <c r="K213" i="1" s="1"/>
  <c r="L210" i="1" s="1"/>
  <c r="L211" i="1"/>
  <c r="M211" i="1"/>
  <c r="N211" i="1"/>
  <c r="M56" i="1"/>
  <c r="N56" i="1" s="1"/>
  <c r="O56" i="1" s="1"/>
  <c r="J142" i="1" l="1"/>
  <c r="I142" i="1"/>
  <c r="L212" i="1"/>
  <c r="L233" i="1" s="1"/>
  <c r="K233" i="1"/>
  <c r="L213" i="1" l="1"/>
  <c r="M210" i="1" s="1"/>
  <c r="M212" i="1" s="1"/>
  <c r="M233" i="1" s="1"/>
  <c r="M213" i="1" l="1"/>
  <c r="N210" i="1" s="1"/>
  <c r="N212" i="1" s="1"/>
  <c r="N233" i="1" s="1"/>
  <c r="N213" i="1" l="1"/>
  <c r="O210" i="1" s="1"/>
  <c r="O212" i="1" s="1"/>
  <c r="O233" i="1" s="1"/>
  <c r="O213" i="1" l="1"/>
  <c r="I177" i="1"/>
  <c r="I176" i="1"/>
  <c r="I175" i="1"/>
  <c r="I174" i="1"/>
  <c r="I173" i="1"/>
  <c r="L172" i="1" l="1"/>
  <c r="K169" i="1"/>
  <c r="K168" i="1"/>
  <c r="L169" i="1" s="1"/>
  <c r="K167" i="1"/>
  <c r="L168" i="1" s="1"/>
  <c r="M169" i="1" s="1"/>
  <c r="K166" i="1"/>
  <c r="L167" i="1" s="1"/>
  <c r="M168" i="1" s="1"/>
  <c r="N169" i="1" s="1"/>
  <c r="I166" i="1"/>
  <c r="J174" i="1" s="1"/>
  <c r="I167" i="1"/>
  <c r="J175" i="1" s="1"/>
  <c r="I168" i="1"/>
  <c r="J176" i="1" s="1"/>
  <c r="I169" i="1"/>
  <c r="J177" i="1" s="1"/>
  <c r="I165" i="1"/>
  <c r="J173" i="1" s="1"/>
  <c r="L164" i="1"/>
  <c r="H166" i="1" s="1"/>
  <c r="M164" i="1"/>
  <c r="H167" i="1" s="1"/>
  <c r="N164" i="1"/>
  <c r="H168" i="1" s="1"/>
  <c r="O164" i="1"/>
  <c r="H169" i="1" s="1"/>
  <c r="K164" i="1"/>
  <c r="H165" i="1" s="1"/>
  <c r="H173" i="1" s="1"/>
  <c r="H174" i="1" s="1"/>
  <c r="H175" i="1" s="1"/>
  <c r="H176" i="1" s="1"/>
  <c r="H177" i="1" s="1"/>
  <c r="K161" i="1"/>
  <c r="L161" i="1" s="1"/>
  <c r="M161" i="1" s="1"/>
  <c r="N161" i="1" s="1"/>
  <c r="O161" i="1" s="1"/>
  <c r="O165" i="1" s="1"/>
  <c r="K155" i="1"/>
  <c r="B155" i="1"/>
  <c r="O173" i="1" l="1"/>
  <c r="N177" i="1"/>
  <c r="M177" i="1"/>
  <c r="L177" i="1"/>
  <c r="K177" i="1"/>
  <c r="L155" i="1"/>
  <c r="L182" i="1" s="1"/>
  <c r="K182" i="1"/>
  <c r="M176" i="1"/>
  <c r="L176" i="1"/>
  <c r="K176" i="1"/>
  <c r="K175" i="1"/>
  <c r="L175" i="1"/>
  <c r="K174" i="1"/>
  <c r="K165" i="1"/>
  <c r="L166" i="1" s="1"/>
  <c r="M167" i="1" s="1"/>
  <c r="N168" i="1" s="1"/>
  <c r="O169" i="1" s="1"/>
  <c r="O177" i="1" s="1"/>
  <c r="L165" i="1"/>
  <c r="M166" i="1" s="1"/>
  <c r="N167" i="1" s="1"/>
  <c r="O168" i="1" s="1"/>
  <c r="O176" i="1" s="1"/>
  <c r="M165" i="1"/>
  <c r="N166" i="1" s="1"/>
  <c r="O167" i="1" s="1"/>
  <c r="O175" i="1" s="1"/>
  <c r="M172" i="1"/>
  <c r="N165" i="1"/>
  <c r="O166" i="1" s="1"/>
  <c r="O174" i="1" s="1"/>
  <c r="M174" i="1" l="1"/>
  <c r="N174" i="1"/>
  <c r="L173" i="1"/>
  <c r="N175" i="1"/>
  <c r="M155" i="1"/>
  <c r="K173" i="1"/>
  <c r="M173" i="1"/>
  <c r="N176" i="1"/>
  <c r="L174" i="1"/>
  <c r="M175" i="1"/>
  <c r="N172" i="1"/>
  <c r="N173" i="1"/>
  <c r="O183" i="1"/>
  <c r="F85" i="1"/>
  <c r="F84" i="1"/>
  <c r="F83" i="1"/>
  <c r="I77" i="1"/>
  <c r="J77" i="1"/>
  <c r="H77" i="1"/>
  <c r="K77" i="1"/>
  <c r="J58" i="1"/>
  <c r="J83" i="1" s="1"/>
  <c r="I58" i="1"/>
  <c r="I83" i="1" s="1"/>
  <c r="H58" i="1"/>
  <c r="H83" i="1" s="1"/>
  <c r="F50" i="1"/>
  <c r="J37" i="1"/>
  <c r="H37" i="1"/>
  <c r="F37" i="1"/>
  <c r="K32" i="1"/>
  <c r="J31" i="1"/>
  <c r="I31" i="1"/>
  <c r="J25" i="1"/>
  <c r="I25" i="1"/>
  <c r="H25" i="1"/>
  <c r="I24" i="1"/>
  <c r="J24" i="1"/>
  <c r="K24" i="1"/>
  <c r="L24" i="1"/>
  <c r="M24" i="1"/>
  <c r="N24" i="1"/>
  <c r="O24" i="1"/>
  <c r="H24" i="1"/>
  <c r="F25" i="1"/>
  <c r="C25" i="1"/>
  <c r="C24" i="1"/>
  <c r="I17" i="1"/>
  <c r="I42" i="1" s="1"/>
  <c r="J17" i="1"/>
  <c r="J42" i="1" s="1"/>
  <c r="H17" i="1"/>
  <c r="H42" i="1" s="1"/>
  <c r="J13" i="1"/>
  <c r="I13" i="1"/>
  <c r="K15" i="1"/>
  <c r="K17" i="1" s="1"/>
  <c r="K42" i="1" s="1"/>
  <c r="L32" i="1" l="1"/>
  <c r="M32" i="1" s="1"/>
  <c r="N32" i="1" s="1"/>
  <c r="O32" i="1" s="1"/>
  <c r="O37" i="1" s="1"/>
  <c r="K37" i="1"/>
  <c r="H26" i="1"/>
  <c r="H36" i="1" s="1"/>
  <c r="H38" i="1" s="1"/>
  <c r="H97" i="1" s="1"/>
  <c r="H124" i="1" s="1"/>
  <c r="H128" i="1" s="1"/>
  <c r="L183" i="1"/>
  <c r="L184" i="1" s="1"/>
  <c r="L232" i="1" s="1"/>
  <c r="N183" i="1"/>
  <c r="K58" i="1"/>
  <c r="K83" i="1" s="1"/>
  <c r="M183" i="1"/>
  <c r="K183" i="1"/>
  <c r="K184" i="1" s="1"/>
  <c r="K25" i="1"/>
  <c r="K26" i="1" s="1"/>
  <c r="O172" i="1"/>
  <c r="N155" i="1"/>
  <c r="M182" i="1"/>
  <c r="I26" i="1"/>
  <c r="I36" i="1" s="1"/>
  <c r="J26" i="1"/>
  <c r="J36" i="1" s="1"/>
  <c r="L15" i="1"/>
  <c r="M37" i="1" l="1"/>
  <c r="L105" i="1"/>
  <c r="L205" i="1" s="1"/>
  <c r="L37" i="1"/>
  <c r="N37" i="1"/>
  <c r="K36" i="1"/>
  <c r="K38" i="1" s="1"/>
  <c r="K97" i="1" s="1"/>
  <c r="K124" i="1" s="1"/>
  <c r="K133" i="1" s="1"/>
  <c r="K105" i="1"/>
  <c r="K205" i="1" s="1"/>
  <c r="K206" i="1" s="1"/>
  <c r="L203" i="1" s="1"/>
  <c r="K232" i="1"/>
  <c r="M184" i="1"/>
  <c r="M232" i="1" s="1"/>
  <c r="L58" i="1"/>
  <c r="L83" i="1" s="1"/>
  <c r="H50" i="1"/>
  <c r="M105" i="1"/>
  <c r="M205" i="1" s="1"/>
  <c r="O155" i="1"/>
  <c r="O182" i="1" s="1"/>
  <c r="O184" i="1" s="1"/>
  <c r="O232" i="1" s="1"/>
  <c r="N182" i="1"/>
  <c r="M58" i="1"/>
  <c r="M83" i="1" s="1"/>
  <c r="N58" i="1"/>
  <c r="N83" i="1" s="1"/>
  <c r="J38" i="1"/>
  <c r="J97" i="1" s="1"/>
  <c r="J124" i="1" s="1"/>
  <c r="J128" i="1" s="1"/>
  <c r="J50" i="1"/>
  <c r="I38" i="1"/>
  <c r="I97" i="1" s="1"/>
  <c r="I124" i="1" s="1"/>
  <c r="I128" i="1" s="1"/>
  <c r="I50" i="1"/>
  <c r="L77" i="1"/>
  <c r="M15" i="1"/>
  <c r="L17" i="1"/>
  <c r="L42" i="1" s="1"/>
  <c r="L25" i="1"/>
  <c r="L26" i="1" s="1"/>
  <c r="L36" i="1" s="1"/>
  <c r="L206" i="1" l="1"/>
  <c r="M203" i="1" s="1"/>
  <c r="M206" i="1" s="1"/>
  <c r="N203" i="1" s="1"/>
  <c r="K50" i="1"/>
  <c r="K61" i="1" s="1"/>
  <c r="O105" i="1"/>
  <c r="O205" i="1" s="1"/>
  <c r="J70" i="1"/>
  <c r="H61" i="1"/>
  <c r="H62" i="1"/>
  <c r="H60" i="1"/>
  <c r="I61" i="1"/>
  <c r="I62" i="1"/>
  <c r="I60" i="1"/>
  <c r="I63" i="1" s="1"/>
  <c r="I87" i="1" s="1"/>
  <c r="J62" i="1"/>
  <c r="J60" i="1"/>
  <c r="J61" i="1"/>
  <c r="N184" i="1"/>
  <c r="N232" i="1" s="1"/>
  <c r="H70" i="1"/>
  <c r="I71" i="1"/>
  <c r="N70" i="1"/>
  <c r="L70" i="1"/>
  <c r="H71" i="1"/>
  <c r="J69" i="1"/>
  <c r="O71" i="1"/>
  <c r="M70" i="1"/>
  <c r="O70" i="1"/>
  <c r="I69" i="1"/>
  <c r="L69" i="1"/>
  <c r="H69" i="1"/>
  <c r="N71" i="1"/>
  <c r="J71" i="1"/>
  <c r="K70" i="1"/>
  <c r="K71" i="1"/>
  <c r="I70" i="1"/>
  <c r="L71" i="1"/>
  <c r="K69" i="1"/>
  <c r="M71" i="1"/>
  <c r="M77" i="1"/>
  <c r="M69" i="1"/>
  <c r="L38" i="1"/>
  <c r="L97" i="1" s="1"/>
  <c r="L124" i="1" s="1"/>
  <c r="L133" i="1" s="1"/>
  <c r="L50" i="1"/>
  <c r="O58" i="1"/>
  <c r="O83" i="1" s="1"/>
  <c r="H63" i="1"/>
  <c r="H87" i="1" s="1"/>
  <c r="N15" i="1"/>
  <c r="M17" i="1"/>
  <c r="M42" i="1" s="1"/>
  <c r="M25" i="1"/>
  <c r="M26" i="1" s="1"/>
  <c r="M36" i="1" s="1"/>
  <c r="J63" i="1" l="1"/>
  <c r="J87" i="1" s="1"/>
  <c r="K62" i="1"/>
  <c r="K60" i="1"/>
  <c r="H72" i="1"/>
  <c r="H84" i="1" s="1"/>
  <c r="H88" i="1" s="1"/>
  <c r="H89" i="1" s="1"/>
  <c r="H98" i="1" s="1"/>
  <c r="L62" i="1"/>
  <c r="L60" i="1"/>
  <c r="L61" i="1"/>
  <c r="N105" i="1"/>
  <c r="N205" i="1" s="1"/>
  <c r="N206" i="1" s="1"/>
  <c r="O203" i="1" s="1"/>
  <c r="O206" i="1" s="1"/>
  <c r="J72" i="1"/>
  <c r="J84" i="1" s="1"/>
  <c r="J88" i="1" s="1"/>
  <c r="J85" i="1"/>
  <c r="L72" i="1"/>
  <c r="L84" i="1" s="1"/>
  <c r="L85" i="1" s="1"/>
  <c r="I72" i="1"/>
  <c r="I84" i="1" s="1"/>
  <c r="I88" i="1" s="1"/>
  <c r="I89" i="1" s="1"/>
  <c r="I98" i="1" s="1"/>
  <c r="K72" i="1"/>
  <c r="K84" i="1" s="1"/>
  <c r="K88" i="1" s="1"/>
  <c r="M72" i="1"/>
  <c r="M84" i="1" s="1"/>
  <c r="M88" i="1" s="1"/>
  <c r="N69" i="1"/>
  <c r="N72" i="1" s="1"/>
  <c r="N84" i="1" s="1"/>
  <c r="N77" i="1"/>
  <c r="M38" i="1"/>
  <c r="M97" i="1" s="1"/>
  <c r="M124" i="1" s="1"/>
  <c r="M133" i="1" s="1"/>
  <c r="M50" i="1"/>
  <c r="O15" i="1"/>
  <c r="N17" i="1"/>
  <c r="N42" i="1" s="1"/>
  <c r="N25" i="1"/>
  <c r="N26" i="1" s="1"/>
  <c r="N36" i="1" s="1"/>
  <c r="K63" i="1" l="1"/>
  <c r="K87" i="1" s="1"/>
  <c r="K89" i="1" s="1"/>
  <c r="K98" i="1" s="1"/>
  <c r="I85" i="1"/>
  <c r="J89" i="1"/>
  <c r="J98" i="1" s="1"/>
  <c r="J99" i="1" s="1"/>
  <c r="J103" i="1" s="1"/>
  <c r="J106" i="1" s="1"/>
  <c r="J109" i="1" s="1"/>
  <c r="I99" i="1"/>
  <c r="I103" i="1" s="1"/>
  <c r="I106" i="1" s="1"/>
  <c r="I109" i="1" s="1"/>
  <c r="I125" i="1"/>
  <c r="H99" i="1"/>
  <c r="H103" i="1" s="1"/>
  <c r="H106" i="1" s="1"/>
  <c r="H109" i="1" s="1"/>
  <c r="H125" i="1"/>
  <c r="L63" i="1"/>
  <c r="L87" i="1" s="1"/>
  <c r="M62" i="1"/>
  <c r="M60" i="1"/>
  <c r="M61" i="1"/>
  <c r="H85" i="1"/>
  <c r="K85" i="1"/>
  <c r="L88" i="1"/>
  <c r="M85" i="1"/>
  <c r="N38" i="1"/>
  <c r="N97" i="1" s="1"/>
  <c r="N124" i="1" s="1"/>
  <c r="N133" i="1" s="1"/>
  <c r="N50" i="1"/>
  <c r="N85" i="1"/>
  <c r="N88" i="1"/>
  <c r="O69" i="1"/>
  <c r="O72" i="1" s="1"/>
  <c r="O84" i="1" s="1"/>
  <c r="O77" i="1"/>
  <c r="O17" i="1"/>
  <c r="O42" i="1" s="1"/>
  <c r="O25" i="1"/>
  <c r="O26" i="1" s="1"/>
  <c r="O36" i="1" s="1"/>
  <c r="J125" i="1" l="1"/>
  <c r="J129" i="1" s="1"/>
  <c r="H129" i="1"/>
  <c r="H130" i="1"/>
  <c r="I130" i="1"/>
  <c r="I129" i="1"/>
  <c r="J224" i="1"/>
  <c r="J225" i="1" s="1"/>
  <c r="J115" i="1"/>
  <c r="K99" i="1"/>
  <c r="K103" i="1" s="1"/>
  <c r="K106" i="1" s="1"/>
  <c r="K109" i="1" s="1"/>
  <c r="K125" i="1"/>
  <c r="H224" i="1"/>
  <c r="H225" i="1" s="1"/>
  <c r="H115" i="1"/>
  <c r="I224" i="1"/>
  <c r="I225" i="1" s="1"/>
  <c r="I115" i="1"/>
  <c r="M63" i="1"/>
  <c r="M87" i="1" s="1"/>
  <c r="M89" i="1" s="1"/>
  <c r="M98" i="1" s="1"/>
  <c r="N61" i="1"/>
  <c r="N62" i="1"/>
  <c r="N60" i="1"/>
  <c r="L89" i="1"/>
  <c r="L98" i="1" s="1"/>
  <c r="O38" i="1"/>
  <c r="O97" i="1" s="1"/>
  <c r="O124" i="1" s="1"/>
  <c r="O133" i="1" s="1"/>
  <c r="O50" i="1"/>
  <c r="O85" i="1"/>
  <c r="O88" i="1"/>
  <c r="J130" i="1" l="1"/>
  <c r="K134" i="1"/>
  <c r="K138" i="1" s="1"/>
  <c r="K135" i="1"/>
  <c r="K139" i="1" s="1"/>
  <c r="L99" i="1"/>
  <c r="L103" i="1" s="1"/>
  <c r="L106" i="1" s="1"/>
  <c r="L109" i="1" s="1"/>
  <c r="L125" i="1"/>
  <c r="M99" i="1"/>
  <c r="M103" i="1" s="1"/>
  <c r="M106" i="1" s="1"/>
  <c r="M109" i="1" s="1"/>
  <c r="M125" i="1"/>
  <c r="K224" i="1"/>
  <c r="N63" i="1"/>
  <c r="N87" i="1" s="1"/>
  <c r="N89" i="1" s="1"/>
  <c r="N98" i="1" s="1"/>
  <c r="O61" i="1"/>
  <c r="O62" i="1"/>
  <c r="O60" i="1"/>
  <c r="O63" i="1" s="1"/>
  <c r="O87" i="1" s="1"/>
  <c r="O89" i="1" s="1"/>
  <c r="O98" i="1" s="1"/>
  <c r="O125" i="1" s="1"/>
  <c r="K140" i="1" l="1"/>
  <c r="O135" i="1"/>
  <c r="O139" i="1" s="1"/>
  <c r="O134" i="1"/>
  <c r="O138" i="1" s="1"/>
  <c r="M135" i="1"/>
  <c r="M139" i="1" s="1"/>
  <c r="M134" i="1"/>
  <c r="M138" i="1" s="1"/>
  <c r="L135" i="1"/>
  <c r="L139" i="1" s="1"/>
  <c r="L134" i="1"/>
  <c r="L138" i="1" s="1"/>
  <c r="L224" i="1"/>
  <c r="M224" i="1"/>
  <c r="N99" i="1"/>
  <c r="N103" i="1" s="1"/>
  <c r="N106" i="1" s="1"/>
  <c r="N109" i="1" s="1"/>
  <c r="N125" i="1"/>
  <c r="O99" i="1"/>
  <c r="O103" i="1" s="1"/>
  <c r="O106" i="1" s="1"/>
  <c r="O109" i="1" s="1"/>
  <c r="K231" i="1"/>
  <c r="K225" i="1"/>
  <c r="O140" i="1" l="1"/>
  <c r="M140" i="1"/>
  <c r="L140" i="1"/>
  <c r="L142" i="1"/>
  <c r="K142" i="1"/>
  <c r="N135" i="1"/>
  <c r="N139" i="1" s="1"/>
  <c r="N134" i="1"/>
  <c r="N138" i="1" s="1"/>
  <c r="N140" i="1" s="1"/>
  <c r="M231" i="1"/>
  <c r="M225" i="1"/>
  <c r="L225" i="1"/>
  <c r="L231" i="1"/>
  <c r="K244" i="1"/>
  <c r="K252" i="1"/>
  <c r="K234" i="1"/>
  <c r="O224" i="1"/>
  <c r="N224" i="1"/>
  <c r="O142" i="1" l="1"/>
  <c r="M142" i="1"/>
  <c r="N142" i="1"/>
  <c r="M252" i="1"/>
  <c r="M234" i="1"/>
  <c r="M237" i="1" s="1"/>
  <c r="M244" i="1"/>
  <c r="N231" i="1"/>
  <c r="N225" i="1"/>
  <c r="O231" i="1"/>
  <c r="O225" i="1"/>
  <c r="K245" i="1"/>
  <c r="K237" i="1"/>
  <c r="L244" i="1"/>
  <c r="L252" i="1"/>
  <c r="L234" i="1"/>
  <c r="L237" i="1" l="1"/>
  <c r="K246" i="1"/>
  <c r="L243" i="1" s="1"/>
  <c r="K238" i="1"/>
  <c r="K239" i="1" s="1"/>
  <c r="K250" i="1" s="1"/>
  <c r="O252" i="1"/>
  <c r="O244" i="1"/>
  <c r="O234" i="1"/>
  <c r="O237" i="1" s="1"/>
  <c r="N252" i="1"/>
  <c r="N234" i="1"/>
  <c r="N237" i="1" s="1"/>
  <c r="N244" i="1"/>
  <c r="K111" i="1" l="1"/>
  <c r="K251" i="1"/>
  <c r="K112" i="1" s="1"/>
  <c r="L245" i="1"/>
  <c r="L238" i="1" s="1"/>
  <c r="L239" i="1" s="1"/>
  <c r="L250" i="1" s="1"/>
  <c r="L251" i="1" l="1"/>
  <c r="L112" i="1" s="1"/>
  <c r="L111" i="1"/>
  <c r="L113" i="1" s="1"/>
  <c r="L115" i="1" s="1"/>
  <c r="L246" i="1"/>
  <c r="M243" i="1" s="1"/>
  <c r="M245" i="1" s="1"/>
  <c r="K113" i="1"/>
  <c r="K115" i="1" s="1"/>
  <c r="M246" i="1" l="1"/>
  <c r="N243" i="1" s="1"/>
  <c r="N245" i="1" s="1"/>
  <c r="M238" i="1"/>
  <c r="M239" i="1" s="1"/>
  <c r="M250" i="1" s="1"/>
  <c r="M251" i="1" l="1"/>
  <c r="M112" i="1" s="1"/>
  <c r="M111" i="1"/>
  <c r="N246" i="1"/>
  <c r="O243" i="1" s="1"/>
  <c r="O245" i="1" s="1"/>
  <c r="N238" i="1"/>
  <c r="N239" i="1" s="1"/>
  <c r="N250" i="1" s="1"/>
  <c r="M113" i="1" l="1"/>
  <c r="M115" i="1" s="1"/>
  <c r="N111" i="1"/>
  <c r="N251" i="1"/>
  <c r="N112" i="1" s="1"/>
  <c r="O246" i="1"/>
  <c r="O238" i="1"/>
  <c r="O239" i="1" s="1"/>
  <c r="O250" i="1" s="1"/>
  <c r="O111" i="1" l="1"/>
  <c r="O251" i="1"/>
  <c r="O112" i="1" s="1"/>
  <c r="N113" i="1"/>
  <c r="N115" i="1" s="1"/>
  <c r="O113" i="1" l="1"/>
  <c r="O115" i="1" s="1"/>
</calcChain>
</file>

<file path=xl/sharedStrings.xml><?xml version="1.0" encoding="utf-8"?>
<sst xmlns="http://schemas.openxmlformats.org/spreadsheetml/2006/main" count="179" uniqueCount="113">
  <si>
    <t>Revenue Schedule</t>
  </si>
  <si>
    <t>All figures in USD thousands unless stated</t>
  </si>
  <si>
    <t>Days In period</t>
  </si>
  <si>
    <t>Operations</t>
  </si>
  <si>
    <t>Sales Volume Growth</t>
  </si>
  <si>
    <t>Sales Volume</t>
  </si>
  <si>
    <t>Plant Capacity</t>
  </si>
  <si>
    <t>Unit/ Day</t>
  </si>
  <si>
    <t>Operational Efficiency</t>
  </si>
  <si>
    <t>Volume</t>
  </si>
  <si>
    <t>Pricing</t>
  </si>
  <si>
    <t>Pricing Increases</t>
  </si>
  <si>
    <t>Unit Price</t>
  </si>
  <si>
    <t>USD/ Unit</t>
  </si>
  <si>
    <t>Revenue</t>
  </si>
  <si>
    <t>Sales Price</t>
  </si>
  <si>
    <t>Capacity Exceed</t>
  </si>
  <si>
    <t>Cost Schedule</t>
  </si>
  <si>
    <t>Inflation</t>
  </si>
  <si>
    <t>Variable Cost</t>
  </si>
  <si>
    <t>Materials</t>
  </si>
  <si>
    <t>Packaging</t>
  </si>
  <si>
    <t>Transportation</t>
  </si>
  <si>
    <t>Subtotal</t>
  </si>
  <si>
    <t>Fixed Cost</t>
  </si>
  <si>
    <t>Labor</t>
  </si>
  <si>
    <t>Utilities</t>
  </si>
  <si>
    <t>Unit</t>
  </si>
  <si>
    <t>Summary</t>
  </si>
  <si>
    <t>Total Cost</t>
  </si>
  <si>
    <t>Income Statement</t>
  </si>
  <si>
    <t>COGS</t>
  </si>
  <si>
    <t>Gross Profit</t>
  </si>
  <si>
    <t>SG&amp;A</t>
  </si>
  <si>
    <t>Other</t>
  </si>
  <si>
    <t>EBITDA</t>
  </si>
  <si>
    <t>Depreciation</t>
  </si>
  <si>
    <t>Depreciation Schedule</t>
  </si>
  <si>
    <t>Capital Expenditure</t>
  </si>
  <si>
    <t>Existing Asset Depreciation</t>
  </si>
  <si>
    <t>Years</t>
  </si>
  <si>
    <t>Useful Life: Existing Asset</t>
  </si>
  <si>
    <t>Percent of Full Year</t>
  </si>
  <si>
    <t>New Asset Depreciation</t>
  </si>
  <si>
    <t>Useful Life: New Asset</t>
  </si>
  <si>
    <t>First year accounting depreciation</t>
  </si>
  <si>
    <t>Year</t>
  </si>
  <si>
    <t>Life</t>
  </si>
  <si>
    <t>Annual</t>
  </si>
  <si>
    <t>CapEx</t>
  </si>
  <si>
    <t>Total Asset Depreciation</t>
  </si>
  <si>
    <t>Existing Assets</t>
  </si>
  <si>
    <t>New Assets</t>
  </si>
  <si>
    <t>Total Depreciation</t>
  </si>
  <si>
    <t xml:space="preserve">This schedule calculates depreciation on a straight-line basis.  </t>
  </si>
  <si>
    <t xml:space="preserve">This schedule assumes all PP&amp;E is depreciable.  </t>
  </si>
  <si>
    <t>EBIT</t>
  </si>
  <si>
    <t>Interest</t>
  </si>
  <si>
    <t>EBT</t>
  </si>
  <si>
    <t>Asset Schedule</t>
  </si>
  <si>
    <t>First year tax depreciation</t>
  </si>
  <si>
    <t>Propoerty Plant &amp; Equipment</t>
  </si>
  <si>
    <t>Beginning</t>
  </si>
  <si>
    <t>Ending Balance</t>
  </si>
  <si>
    <t>Blended Tax Rate (Tax Purpose)</t>
  </si>
  <si>
    <t>Tax Basis</t>
  </si>
  <si>
    <t xml:space="preserve">This schedule assumes that there are no asset disposals.  </t>
  </si>
  <si>
    <t>Income Tax Schedule</t>
  </si>
  <si>
    <t>Earning Before Tax (EBT)</t>
  </si>
  <si>
    <t>Tax Rate</t>
  </si>
  <si>
    <t>Profitable</t>
  </si>
  <si>
    <t>Losses remaining at the end of 2026?</t>
  </si>
  <si>
    <t>Adjustment for Depreciation</t>
  </si>
  <si>
    <t>Add: Acc Depreciation</t>
  </si>
  <si>
    <t>Less: Tax Depreciation</t>
  </si>
  <si>
    <t>EBT After Adjustment</t>
  </si>
  <si>
    <t>Adjustment for Tax Losses</t>
  </si>
  <si>
    <t>Tax Lossess</t>
  </si>
  <si>
    <t>Add: New Lossess</t>
  </si>
  <si>
    <t>Less: Use of tax lossess</t>
  </si>
  <si>
    <t>Less: Use of Tax Losses</t>
  </si>
  <si>
    <t>Taxable Income</t>
  </si>
  <si>
    <t>Taxes</t>
  </si>
  <si>
    <t>Current Tax</t>
  </si>
  <si>
    <t>Deferred Tax</t>
  </si>
  <si>
    <t>Total Tax</t>
  </si>
  <si>
    <t>Net Income</t>
  </si>
  <si>
    <t>Working Capital Schedule</t>
  </si>
  <si>
    <t>Days in Period</t>
  </si>
  <si>
    <t>Turnover</t>
  </si>
  <si>
    <t>Account Receiveables</t>
  </si>
  <si>
    <t>Inventory</t>
  </si>
  <si>
    <t>Account Payable</t>
  </si>
  <si>
    <t>Total Amount</t>
  </si>
  <si>
    <t>Days</t>
  </si>
  <si>
    <t>Net Working Capital</t>
  </si>
  <si>
    <t>Current Assets</t>
  </si>
  <si>
    <t>Current Liabilities</t>
  </si>
  <si>
    <t>Cash from Change in NWC</t>
  </si>
  <si>
    <t>Operational Modeling</t>
  </si>
  <si>
    <t>Cover Page</t>
  </si>
  <si>
    <t>Topic</t>
  </si>
  <si>
    <t>Financial Modeling</t>
  </si>
  <si>
    <t>Table of Contents</t>
  </si>
  <si>
    <t>Author</t>
  </si>
  <si>
    <t>Md Fozley Elahi</t>
  </si>
  <si>
    <t>Miami Herbert Business School</t>
  </si>
  <si>
    <t>University of Miami</t>
  </si>
  <si>
    <t xml:space="preserve">LinkedIn: </t>
  </si>
  <si>
    <t>https://www.linkedin.com/in/mdfozleyelahi</t>
  </si>
  <si>
    <t>Website:</t>
  </si>
  <si>
    <t>https://fozleyelahi.com/</t>
  </si>
  <si>
    <t>STEM MBA Candidate- 2027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</si>
</sst>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(#,##0_)_%;\(#,##0\)_%;_(&quot;–&quot;_)_%;_(@_)_%"/>
    <numFmt numFmtId="165" formatCode="0&quot; A&quot;"/>
    <numFmt numFmtId="166" formatCode="0&quot; F&quot;"/>
    <numFmt numFmtId="167" formatCode="0&quot;A&quot;"/>
    <numFmt numFmtId="168" formatCode="_(#,##0.0%_);\(#,##0.0%\);_(&quot;–&quot;_)_%;_(@_)_%"/>
    <numFmt numFmtId="169" formatCode="_(#,##0_);\(#,##0\);_(&quot;–&quot;_);_(@_)"/>
    <numFmt numFmtId="170" formatCode="_(* #,##0_);_(* \(#,##0\);_(* &quot;-&quot;??_);_(@_)"/>
    <numFmt numFmtId="171" formatCode="_(#,##0.00_);\(#,##0.00\);_(&quot;–&quot;_);_(@_)"/>
    <numFmt numFmtId="172" formatCode="_(#,##0.0_);\(#,##0.0\);_(&quot;–&quot;_);_(@_)"/>
    <numFmt numFmtId="173" formatCode="0.0"/>
    <numFmt numFmtId="174" formatCode="#,##0_);\(#,##0\);\-"/>
    <numFmt numFmtId="175" formatCode="&quot;Year &quot;0"/>
    <numFmt numFmtId="176" formatCode="0&quot;F&quot;"/>
    <numFmt numFmtId="177" formatCode="@\⁽\¹\⁾"/>
    <numFmt numFmtId="178" formatCode="@\⁽\²\⁾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rgb="FF3271D2"/>
      <name val="Open Sans"/>
      <family val="2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9"/>
      <color theme="1"/>
      <name val="Times New Roman"/>
      <family val="1"/>
    </font>
    <font>
      <sz val="11"/>
      <color theme="4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3271D2"/>
      <name val="Times New Roman"/>
      <family val="1"/>
    </font>
    <font>
      <sz val="10"/>
      <color rgb="FF3271D2"/>
      <name val="Times New Roman"/>
      <family val="1"/>
    </font>
    <font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B0F0"/>
      <name val="Times New Roman"/>
      <family val="1"/>
    </font>
    <font>
      <sz val="12"/>
      <color theme="1"/>
      <name val="Times New Roman"/>
      <family val="1"/>
    </font>
    <font>
      <sz val="2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6F6F6"/>
        <bgColor rgb="FF000000"/>
      </patternFill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indexed="64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</cellStyleXfs>
  <cellXfs count="150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5" fillId="0" borderId="0" xfId="0" applyFont="1"/>
    <xf numFmtId="164" fontId="6" fillId="0" borderId="0" xfId="3" applyNumberFormat="1" applyFont="1" applyAlignment="1">
      <alignment vertical="center"/>
    </xf>
    <xf numFmtId="165" fontId="5" fillId="0" borderId="2" xfId="0" applyNumberFormat="1" applyFont="1" applyBorder="1"/>
    <xf numFmtId="166" fontId="5" fillId="0" borderId="1" xfId="0" applyNumberFormat="1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8" fillId="0" borderId="0" xfId="0" applyFont="1"/>
    <xf numFmtId="167" fontId="8" fillId="0" borderId="0" xfId="3" applyNumberFormat="1" applyFont="1" applyAlignment="1">
      <alignment horizontal="right"/>
    </xf>
    <xf numFmtId="168" fontId="9" fillId="3" borderId="0" xfId="3" applyNumberFormat="1" applyFont="1" applyFill="1"/>
    <xf numFmtId="168" fontId="10" fillId="0" borderId="0" xfId="3" applyNumberFormat="1" applyFont="1"/>
    <xf numFmtId="168" fontId="9" fillId="0" borderId="0" xfId="3" applyNumberFormat="1" applyFont="1"/>
    <xf numFmtId="168" fontId="5" fillId="0" borderId="0" xfId="3" applyNumberFormat="1" applyFont="1"/>
    <xf numFmtId="169" fontId="10" fillId="0" borderId="0" xfId="3" applyNumberFormat="1" applyFont="1"/>
    <xf numFmtId="169" fontId="9" fillId="3" borderId="0" xfId="3" applyNumberFormat="1" applyFont="1" applyFill="1"/>
    <xf numFmtId="169" fontId="10" fillId="0" borderId="6" xfId="3" applyNumberFormat="1" applyFont="1" applyBorder="1"/>
    <xf numFmtId="0" fontId="5" fillId="0" borderId="7" xfId="0" applyFont="1" applyBorder="1"/>
    <xf numFmtId="170" fontId="5" fillId="0" borderId="0" xfId="1" applyNumberFormat="1" applyFont="1"/>
    <xf numFmtId="167" fontId="8" fillId="0" borderId="6" xfId="3" applyNumberFormat="1" applyFont="1" applyBorder="1" applyAlignment="1">
      <alignment horizontal="right"/>
    </xf>
    <xf numFmtId="168" fontId="9" fillId="3" borderId="6" xfId="3" applyNumberFormat="1" applyFont="1" applyFill="1" applyBorder="1"/>
    <xf numFmtId="168" fontId="10" fillId="0" borderId="6" xfId="3" applyNumberFormat="1" applyFont="1" applyBorder="1"/>
    <xf numFmtId="171" fontId="10" fillId="0" borderId="0" xfId="3" applyNumberFormat="1" applyFont="1"/>
    <xf numFmtId="171" fontId="5" fillId="3" borderId="0" xfId="3" applyNumberFormat="1" applyFont="1" applyFill="1"/>
    <xf numFmtId="169" fontId="5" fillId="0" borderId="0" xfId="0" applyNumberFormat="1" applyFont="1"/>
    <xf numFmtId="170" fontId="5" fillId="0" borderId="1" xfId="1" applyNumberFormat="1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70" fontId="5" fillId="0" borderId="10" xfId="0" applyNumberFormat="1" applyFont="1" applyBorder="1"/>
    <xf numFmtId="170" fontId="5" fillId="0" borderId="11" xfId="0" applyNumberFormat="1" applyFont="1" applyBorder="1"/>
    <xf numFmtId="170" fontId="5" fillId="0" borderId="12" xfId="0" applyNumberFormat="1" applyFont="1" applyBorder="1"/>
    <xf numFmtId="168" fontId="10" fillId="0" borderId="8" xfId="3" applyNumberFormat="1" applyFont="1" applyBorder="1"/>
    <xf numFmtId="168" fontId="10" fillId="0" borderId="9" xfId="3" applyNumberFormat="1" applyFont="1" applyBorder="1"/>
    <xf numFmtId="2" fontId="5" fillId="0" borderId="0" xfId="0" applyNumberFormat="1" applyFont="1"/>
    <xf numFmtId="171" fontId="10" fillId="0" borderId="7" xfId="3" applyNumberFormat="1" applyFont="1" applyBorder="1"/>
    <xf numFmtId="2" fontId="5" fillId="0" borderId="7" xfId="0" applyNumberFormat="1" applyFont="1" applyBorder="1"/>
    <xf numFmtId="172" fontId="5" fillId="0" borderId="0" xfId="0" applyNumberFormat="1" applyFont="1"/>
    <xf numFmtId="170" fontId="5" fillId="0" borderId="0" xfId="0" applyNumberFormat="1" applyFont="1"/>
    <xf numFmtId="170" fontId="5" fillId="0" borderId="7" xfId="0" applyNumberFormat="1" applyFont="1" applyBorder="1"/>
    <xf numFmtId="43" fontId="5" fillId="0" borderId="0" xfId="0" applyNumberFormat="1" applyFont="1"/>
    <xf numFmtId="43" fontId="5" fillId="0" borderId="7" xfId="0" applyNumberFormat="1" applyFont="1" applyBorder="1"/>
    <xf numFmtId="170" fontId="5" fillId="0" borderId="0" xfId="1" applyNumberFormat="1" applyFont="1" applyBorder="1"/>
    <xf numFmtId="169" fontId="10" fillId="0" borderId="7" xfId="3" applyNumberFormat="1" applyFont="1" applyBorder="1"/>
    <xf numFmtId="170" fontId="5" fillId="0" borderId="7" xfId="1" applyNumberFormat="1" applyFont="1" applyBorder="1"/>
    <xf numFmtId="0" fontId="9" fillId="0" borderId="0" xfId="3" applyFont="1" applyAlignment="1">
      <alignment horizontal="left"/>
    </xf>
    <xf numFmtId="0" fontId="5" fillId="0" borderId="0" xfId="3" applyFont="1"/>
    <xf numFmtId="170" fontId="5" fillId="0" borderId="1" xfId="0" applyNumberFormat="1" applyFont="1" applyBorder="1"/>
    <xf numFmtId="170" fontId="8" fillId="0" borderId="0" xfId="0" applyNumberFormat="1" applyFont="1"/>
    <xf numFmtId="169" fontId="10" fillId="0" borderId="0" xfId="3" applyNumberFormat="1" applyFont="1" applyAlignment="1">
      <alignment horizontal="right"/>
    </xf>
    <xf numFmtId="169" fontId="10" fillId="0" borderId="7" xfId="3" applyNumberFormat="1" applyFont="1" applyBorder="1" applyAlignment="1">
      <alignment horizontal="right"/>
    </xf>
    <xf numFmtId="169" fontId="10" fillId="0" borderId="6" xfId="3" applyNumberFormat="1" applyFont="1" applyBorder="1" applyAlignment="1">
      <alignment horizontal="right"/>
    </xf>
    <xf numFmtId="169" fontId="11" fillId="0" borderId="6" xfId="3" applyNumberFormat="1" applyFont="1" applyBorder="1" applyAlignment="1">
      <alignment horizontal="right"/>
    </xf>
    <xf numFmtId="164" fontId="12" fillId="0" borderId="0" xfId="3" applyNumberFormat="1" applyFont="1" applyAlignment="1">
      <alignment vertical="center"/>
    </xf>
    <xf numFmtId="0" fontId="8" fillId="0" borderId="15" xfId="0" applyFont="1" applyBorder="1"/>
    <xf numFmtId="0" fontId="5" fillId="0" borderId="13" xfId="0" applyFont="1" applyBorder="1"/>
    <xf numFmtId="174" fontId="10" fillId="0" borderId="13" xfId="3" applyNumberFormat="1" applyFont="1" applyBorder="1"/>
    <xf numFmtId="174" fontId="10" fillId="0" borderId="14" xfId="3" applyNumberFormat="1" applyFont="1" applyBorder="1"/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16" xfId="0" applyFont="1" applyBorder="1"/>
    <xf numFmtId="0" fontId="5" fillId="0" borderId="17" xfId="0" applyFont="1" applyBorder="1"/>
    <xf numFmtId="0" fontId="7" fillId="0" borderId="18" xfId="0" applyFont="1" applyBorder="1" applyAlignment="1">
      <alignment horizontal="center"/>
    </xf>
    <xf numFmtId="175" fontId="5" fillId="0" borderId="16" xfId="0" applyNumberFormat="1" applyFont="1" applyBorder="1"/>
    <xf numFmtId="175" fontId="5" fillId="0" borderId="17" xfId="0" applyNumberFormat="1" applyFont="1" applyBorder="1"/>
    <xf numFmtId="175" fontId="5" fillId="0" borderId="18" xfId="0" applyNumberFormat="1" applyFont="1" applyBorder="1"/>
    <xf numFmtId="0" fontId="9" fillId="0" borderId="19" xfId="3" applyFont="1" applyBorder="1" applyAlignment="1">
      <alignment horizontal="left"/>
    </xf>
    <xf numFmtId="170" fontId="7" fillId="0" borderId="20" xfId="1" applyNumberFormat="1" applyFont="1" applyBorder="1" applyAlignment="1">
      <alignment horizontal="center"/>
    </xf>
    <xf numFmtId="9" fontId="5" fillId="0" borderId="19" xfId="0" applyNumberFormat="1" applyFont="1" applyBorder="1"/>
    <xf numFmtId="9" fontId="7" fillId="0" borderId="20" xfId="2" applyFont="1" applyBorder="1" applyAlignment="1">
      <alignment horizontal="center"/>
    </xf>
    <xf numFmtId="9" fontId="5" fillId="0" borderId="7" xfId="0" applyNumberFormat="1" applyFont="1" applyBorder="1"/>
    <xf numFmtId="9" fontId="5" fillId="0" borderId="20" xfId="0" applyNumberFormat="1" applyFont="1" applyBorder="1"/>
    <xf numFmtId="166" fontId="5" fillId="0" borderId="0" xfId="0" applyNumberFormat="1" applyFont="1"/>
    <xf numFmtId="166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9" fontId="5" fillId="0" borderId="16" xfId="0" applyNumberFormat="1" applyFont="1" applyBorder="1"/>
    <xf numFmtId="9" fontId="5" fillId="0" borderId="17" xfId="0" applyNumberFormat="1" applyFont="1" applyBorder="1"/>
    <xf numFmtId="9" fontId="5" fillId="0" borderId="18" xfId="0" applyNumberFormat="1" applyFont="1" applyBorder="1"/>
    <xf numFmtId="166" fontId="5" fillId="0" borderId="21" xfId="0" applyNumberFormat="1" applyFont="1" applyBorder="1" applyAlignment="1">
      <alignment horizontal="center"/>
    </xf>
    <xf numFmtId="0" fontId="5" fillId="0" borderId="21" xfId="0" applyFont="1" applyBorder="1"/>
    <xf numFmtId="9" fontId="5" fillId="0" borderId="0" xfId="0" applyNumberFormat="1" applyFont="1"/>
    <xf numFmtId="9" fontId="5" fillId="0" borderId="22" xfId="0" applyNumberFormat="1" applyFont="1" applyBorder="1"/>
    <xf numFmtId="166" fontId="5" fillId="0" borderId="19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9" xfId="0" applyFont="1" applyBorder="1"/>
    <xf numFmtId="1" fontId="5" fillId="0" borderId="17" xfId="0" applyNumberFormat="1" applyFont="1" applyBorder="1" applyAlignment="1">
      <alignment horizontal="center"/>
    </xf>
    <xf numFmtId="1" fontId="5" fillId="0" borderId="16" xfId="0" applyNumberFormat="1" applyFont="1" applyBorder="1" applyAlignment="1">
      <alignment horizontal="center"/>
    </xf>
    <xf numFmtId="1" fontId="5" fillId="0" borderId="17" xfId="0" applyNumberFormat="1" applyFont="1" applyBorder="1"/>
    <xf numFmtId="1" fontId="5" fillId="0" borderId="18" xfId="0" applyNumberFormat="1" applyFont="1" applyBorder="1"/>
    <xf numFmtId="1" fontId="5" fillId="0" borderId="0" xfId="0" applyNumberFormat="1" applyFont="1" applyAlignment="1">
      <alignment horizontal="center"/>
    </xf>
    <xf numFmtId="1" fontId="5" fillId="0" borderId="0" xfId="0" applyNumberFormat="1" applyFont="1"/>
    <xf numFmtId="1" fontId="5" fillId="0" borderId="22" xfId="0" applyNumberFormat="1" applyFont="1" applyBorder="1"/>
    <xf numFmtId="1" fontId="5" fillId="0" borderId="21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5" fillId="0" borderId="19" xfId="0" applyNumberFormat="1" applyFont="1" applyBorder="1" applyAlignment="1">
      <alignment horizontal="center"/>
    </xf>
    <xf numFmtId="1" fontId="5" fillId="0" borderId="7" xfId="0" applyNumberFormat="1" applyFont="1" applyBorder="1"/>
    <xf numFmtId="1" fontId="5" fillId="0" borderId="20" xfId="0" applyNumberFormat="1" applyFont="1" applyBorder="1"/>
    <xf numFmtId="166" fontId="5" fillId="0" borderId="0" xfId="0" applyNumberFormat="1" applyFont="1" applyAlignment="1">
      <alignment horizontal="center"/>
    </xf>
    <xf numFmtId="173" fontId="5" fillId="0" borderId="0" xfId="0" applyNumberFormat="1" applyFont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173" fontId="5" fillId="0" borderId="7" xfId="0" applyNumberFormat="1" applyFont="1" applyBorder="1" applyAlignment="1">
      <alignment horizontal="center"/>
    </xf>
    <xf numFmtId="167" fontId="13" fillId="0" borderId="0" xfId="3" applyNumberFormat="1" applyFont="1" applyAlignment="1">
      <alignment horizontal="right"/>
    </xf>
    <xf numFmtId="176" fontId="13" fillId="0" borderId="0" xfId="3" applyNumberFormat="1" applyFont="1" applyAlignment="1">
      <alignment horizontal="right"/>
    </xf>
    <xf numFmtId="177" fontId="14" fillId="0" borderId="0" xfId="3" quotePrefix="1" applyNumberFormat="1" applyFont="1" applyAlignment="1">
      <alignment horizontal="right"/>
    </xf>
    <xf numFmtId="178" fontId="14" fillId="0" borderId="0" xfId="3" quotePrefix="1" applyNumberFormat="1" applyFont="1" applyAlignment="1">
      <alignment horizontal="right"/>
    </xf>
    <xf numFmtId="170" fontId="5" fillId="0" borderId="17" xfId="1" applyNumberFormat="1" applyFont="1" applyBorder="1"/>
    <xf numFmtId="170" fontId="5" fillId="0" borderId="18" xfId="1" applyNumberFormat="1" applyFont="1" applyBorder="1"/>
    <xf numFmtId="9" fontId="15" fillId="0" borderId="7" xfId="2" applyFont="1" applyBorder="1"/>
    <xf numFmtId="9" fontId="15" fillId="0" borderId="20" xfId="2" applyFont="1" applyBorder="1"/>
    <xf numFmtId="0" fontId="5" fillId="0" borderId="3" xfId="0" applyFont="1" applyBorder="1"/>
    <xf numFmtId="0" fontId="5" fillId="0" borderId="4" xfId="0" applyFont="1" applyBorder="1"/>
    <xf numFmtId="9" fontId="5" fillId="0" borderId="5" xfId="0" applyNumberFormat="1" applyFont="1" applyBorder="1"/>
    <xf numFmtId="170" fontId="15" fillId="0" borderId="0" xfId="1" applyNumberFormat="1" applyFont="1"/>
    <xf numFmtId="170" fontId="5" fillId="0" borderId="17" xfId="0" applyNumberFormat="1" applyFont="1" applyBorder="1"/>
    <xf numFmtId="170" fontId="5" fillId="0" borderId="18" xfId="0" applyNumberFormat="1" applyFont="1" applyBorder="1"/>
    <xf numFmtId="9" fontId="5" fillId="0" borderId="7" xfId="2" applyFont="1" applyBorder="1" applyAlignment="1">
      <alignment horizontal="right"/>
    </xf>
    <xf numFmtId="9" fontId="5" fillId="0" borderId="20" xfId="2" applyFont="1" applyBorder="1" applyAlignment="1">
      <alignment horizontal="right"/>
    </xf>
    <xf numFmtId="9" fontId="15" fillId="0" borderId="18" xfId="0" applyNumberFormat="1" applyFont="1" applyBorder="1"/>
    <xf numFmtId="0" fontId="5" fillId="0" borderId="20" xfId="0" applyFont="1" applyBorder="1"/>
    <xf numFmtId="0" fontId="2" fillId="0" borderId="0" xfId="3" applyFont="1" applyAlignment="1">
      <alignment horizontal="left"/>
    </xf>
    <xf numFmtId="169" fontId="3" fillId="0" borderId="0" xfId="3" applyNumberFormat="1" applyFont="1" applyAlignment="1">
      <alignment horizontal="right"/>
    </xf>
    <xf numFmtId="169" fontId="3" fillId="0" borderId="7" xfId="3" applyNumberFormat="1" applyFont="1" applyBorder="1" applyAlignment="1">
      <alignment horizontal="right"/>
    </xf>
    <xf numFmtId="0" fontId="15" fillId="0" borderId="0" xfId="0" applyFont="1"/>
    <xf numFmtId="174" fontId="3" fillId="0" borderId="0" xfId="3" applyNumberFormat="1" applyFont="1"/>
    <xf numFmtId="174" fontId="5" fillId="0" borderId="0" xfId="0" applyNumberFormat="1" applyFont="1"/>
    <xf numFmtId="174" fontId="5" fillId="0" borderId="7" xfId="0" applyNumberFormat="1" applyFont="1" applyBorder="1"/>
    <xf numFmtId="0" fontId="5" fillId="0" borderId="0" xfId="0" applyFont="1" applyAlignment="1">
      <alignment horizontal="center"/>
    </xf>
    <xf numFmtId="0" fontId="18" fillId="2" borderId="0" xfId="0" applyFont="1" applyFill="1"/>
    <xf numFmtId="0" fontId="5" fillId="0" borderId="0" xfId="0" applyFont="1" applyBorder="1"/>
    <xf numFmtId="0" fontId="16" fillId="4" borderId="0" xfId="0" applyFont="1" applyFill="1"/>
    <xf numFmtId="170" fontId="5" fillId="0" borderId="0" xfId="0" applyNumberFormat="1" applyFont="1" applyBorder="1"/>
    <xf numFmtId="0" fontId="17" fillId="2" borderId="0" xfId="0" applyFont="1" applyFill="1" applyAlignment="1">
      <alignment horizontal="center"/>
    </xf>
    <xf numFmtId="0" fontId="16" fillId="4" borderId="23" xfId="0" applyFont="1" applyFill="1" applyBorder="1"/>
    <xf numFmtId="0" fontId="16" fillId="4" borderId="24" xfId="0" applyFont="1" applyFill="1" applyBorder="1"/>
    <xf numFmtId="0" fontId="16" fillId="4" borderId="25" xfId="0" applyFont="1" applyFill="1" applyBorder="1"/>
    <xf numFmtId="0" fontId="16" fillId="0" borderId="26" xfId="0" applyFont="1" applyBorder="1"/>
    <xf numFmtId="0" fontId="16" fillId="0" borderId="0" xfId="0" applyFont="1"/>
    <xf numFmtId="0" fontId="16" fillId="0" borderId="27" xfId="0" applyFont="1" applyBorder="1"/>
    <xf numFmtId="0" fontId="19" fillId="0" borderId="26" xfId="0" applyFont="1" applyBorder="1"/>
    <xf numFmtId="0" fontId="21" fillId="0" borderId="0" xfId="4" applyFont="1" applyBorder="1"/>
    <xf numFmtId="0" fontId="16" fillId="4" borderId="26" xfId="0" applyFont="1" applyFill="1" applyBorder="1"/>
    <xf numFmtId="0" fontId="16" fillId="4" borderId="27" xfId="0" applyFont="1" applyFill="1" applyBorder="1"/>
    <xf numFmtId="0" fontId="16" fillId="4" borderId="28" xfId="0" applyFont="1" applyFill="1" applyBorder="1"/>
    <xf numFmtId="0" fontId="16" fillId="4" borderId="2" xfId="0" applyFont="1" applyFill="1" applyBorder="1"/>
    <xf numFmtId="0" fontId="16" fillId="4" borderId="29" xfId="0" applyFont="1" applyFill="1" applyBorder="1"/>
    <xf numFmtId="0" fontId="16" fillId="0" borderId="0" xfId="0" applyFont="1" applyFill="1"/>
    <xf numFmtId="0" fontId="18" fillId="4" borderId="24" xfId="0" applyFont="1" applyFill="1" applyBorder="1"/>
    <xf numFmtId="0" fontId="20" fillId="0" borderId="0" xfId="4" applyBorder="1"/>
  </cellXfs>
  <cellStyles count="5">
    <cellStyle name="Comma" xfId="1" builtinId="3"/>
    <cellStyle name="Hyperlink" xfId="4" builtinId="8"/>
    <cellStyle name="Normal" xfId="0" builtinId="0"/>
    <cellStyle name="Normal 2" xfId="3" xr:uid="{87481308-86CB-4711-8D05-C6075C25516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ozleyelahi.com/" TargetMode="External"/><Relationship Id="rId1" Type="http://schemas.openxmlformats.org/officeDocument/2006/relationships/hyperlink" Target="https://www.linkedin.com/public-profile/setting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77969-B05A-4356-94F1-E5C1BE11F0A7}">
  <dimension ref="B1:I30"/>
  <sheetViews>
    <sheetView showGridLines="0" workbookViewId="0">
      <selection activeCell="M15" sqref="M15"/>
    </sheetView>
  </sheetViews>
  <sheetFormatPr defaultRowHeight="14.4" x14ac:dyDescent="0.3"/>
  <sheetData>
    <row r="1" spans="2:9" ht="21" thickBot="1" x14ac:dyDescent="0.4">
      <c r="B1" s="134"/>
      <c r="C1" s="135"/>
      <c r="D1" s="135"/>
      <c r="E1" s="148" t="s">
        <v>100</v>
      </c>
      <c r="F1" s="135"/>
      <c r="G1" s="135"/>
      <c r="H1" s="135"/>
      <c r="I1" s="136"/>
    </row>
    <row r="2" spans="2:9" ht="15.6" x14ac:dyDescent="0.3">
      <c r="B2" s="134"/>
      <c r="C2" s="135"/>
      <c r="D2" s="135"/>
      <c r="E2" s="135"/>
      <c r="F2" s="135"/>
      <c r="G2" s="135"/>
      <c r="H2" s="135"/>
      <c r="I2" s="136"/>
    </row>
    <row r="3" spans="2:9" ht="15.6" x14ac:dyDescent="0.3">
      <c r="B3" s="137"/>
      <c r="C3" s="138"/>
      <c r="D3" s="138"/>
      <c r="E3" s="138"/>
      <c r="F3" s="138"/>
      <c r="G3" s="138"/>
      <c r="H3" s="138"/>
      <c r="I3" s="139"/>
    </row>
    <row r="4" spans="2:9" ht="15.6" x14ac:dyDescent="0.3">
      <c r="B4" s="137"/>
      <c r="C4" s="138"/>
      <c r="D4" s="138"/>
      <c r="E4" s="138"/>
      <c r="F4" s="138"/>
      <c r="G4" s="138"/>
      <c r="H4" s="138"/>
      <c r="I4" s="139"/>
    </row>
    <row r="5" spans="2:9" ht="15.6" x14ac:dyDescent="0.3">
      <c r="B5" s="140" t="s">
        <v>101</v>
      </c>
      <c r="C5" s="138" t="s">
        <v>99</v>
      </c>
      <c r="D5" s="138"/>
      <c r="E5" s="138"/>
      <c r="F5" s="138"/>
      <c r="G5" s="138"/>
      <c r="H5" s="138"/>
      <c r="I5" s="139"/>
    </row>
    <row r="6" spans="2:9" ht="15.6" x14ac:dyDescent="0.3">
      <c r="B6" s="137"/>
      <c r="C6" s="138" t="s">
        <v>102</v>
      </c>
      <c r="D6" s="138"/>
      <c r="E6" s="138"/>
      <c r="F6" s="138"/>
      <c r="G6" s="138"/>
      <c r="H6" s="138"/>
      <c r="I6" s="139"/>
    </row>
    <row r="7" spans="2:9" ht="15.6" x14ac:dyDescent="0.3">
      <c r="B7" s="137"/>
      <c r="C7" s="138"/>
      <c r="D7" s="138"/>
      <c r="E7" s="138"/>
      <c r="F7" s="138"/>
      <c r="G7" s="138"/>
      <c r="H7" s="138"/>
      <c r="I7" s="139"/>
    </row>
    <row r="8" spans="2:9" ht="15.6" x14ac:dyDescent="0.3">
      <c r="B8" s="137"/>
      <c r="C8" s="138"/>
      <c r="D8" s="138"/>
      <c r="E8" s="138"/>
      <c r="F8" s="138"/>
      <c r="G8" s="138"/>
      <c r="H8" s="138"/>
      <c r="I8" s="139"/>
    </row>
    <row r="9" spans="2:9" ht="15.6" x14ac:dyDescent="0.3">
      <c r="B9" s="140" t="s">
        <v>103</v>
      </c>
      <c r="C9" s="138"/>
      <c r="D9" s="138"/>
      <c r="E9" s="138"/>
      <c r="F9" s="138"/>
      <c r="G9" s="138"/>
      <c r="H9" s="138"/>
      <c r="I9" s="139"/>
    </row>
    <row r="10" spans="2:9" ht="15.6" x14ac:dyDescent="0.3">
      <c r="B10" s="137"/>
      <c r="C10" s="147" t="s">
        <v>0</v>
      </c>
      <c r="D10" s="147"/>
      <c r="E10" s="147"/>
      <c r="F10" s="138"/>
      <c r="G10" s="138"/>
      <c r="H10" s="138"/>
      <c r="I10" s="139"/>
    </row>
    <row r="11" spans="2:9" ht="15.6" x14ac:dyDescent="0.3">
      <c r="B11" s="137"/>
      <c r="C11" s="147" t="s">
        <v>17</v>
      </c>
      <c r="D11" s="147"/>
      <c r="E11" s="147"/>
      <c r="F11" s="138"/>
      <c r="G11" s="138"/>
      <c r="H11" s="138"/>
      <c r="I11" s="139"/>
    </row>
    <row r="12" spans="2:9" ht="15.6" x14ac:dyDescent="0.3">
      <c r="B12" s="137"/>
      <c r="C12" s="147" t="s">
        <v>30</v>
      </c>
      <c r="D12" s="147"/>
      <c r="E12" s="147"/>
      <c r="F12" s="138"/>
      <c r="G12" s="138"/>
      <c r="H12" s="138"/>
      <c r="I12" s="139"/>
    </row>
    <row r="13" spans="2:9" ht="15.6" x14ac:dyDescent="0.3">
      <c r="B13" s="137"/>
      <c r="C13" s="147" t="s">
        <v>87</v>
      </c>
      <c r="D13" s="147"/>
      <c r="E13" s="147"/>
      <c r="F13" s="138"/>
      <c r="G13" s="138"/>
      <c r="H13" s="138"/>
      <c r="I13" s="139"/>
    </row>
    <row r="14" spans="2:9" ht="15.6" x14ac:dyDescent="0.3">
      <c r="B14" s="137"/>
      <c r="C14" s="147" t="s">
        <v>37</v>
      </c>
      <c r="D14" s="147"/>
      <c r="E14" s="147"/>
      <c r="F14" s="138"/>
      <c r="G14" s="138"/>
      <c r="H14" s="138"/>
      <c r="I14" s="139"/>
    </row>
    <row r="15" spans="2:9" ht="15.6" x14ac:dyDescent="0.3">
      <c r="B15" s="137"/>
      <c r="C15" s="147" t="s">
        <v>59</v>
      </c>
      <c r="D15" s="147"/>
      <c r="E15" s="147"/>
      <c r="F15" s="138"/>
      <c r="G15" s="138"/>
      <c r="H15" s="138"/>
      <c r="I15" s="139"/>
    </row>
    <row r="16" spans="2:9" ht="15.6" x14ac:dyDescent="0.3">
      <c r="B16" s="137"/>
      <c r="C16" s="147" t="s">
        <v>67</v>
      </c>
      <c r="D16" s="147"/>
      <c r="E16" s="147"/>
      <c r="F16" s="138"/>
      <c r="G16" s="138"/>
      <c r="H16" s="138"/>
      <c r="I16" s="139"/>
    </row>
    <row r="17" spans="2:9" ht="15.6" x14ac:dyDescent="0.3">
      <c r="B17" s="137"/>
      <c r="C17" s="138"/>
      <c r="D17" s="138"/>
      <c r="E17" s="138"/>
      <c r="F17" s="138"/>
      <c r="G17" s="138"/>
      <c r="H17" s="138"/>
      <c r="I17" s="139"/>
    </row>
    <row r="18" spans="2:9" ht="15.6" x14ac:dyDescent="0.3">
      <c r="B18" s="137"/>
      <c r="C18" s="138"/>
      <c r="D18" s="138"/>
      <c r="E18" s="138"/>
      <c r="F18" s="138"/>
      <c r="G18" s="138"/>
      <c r="H18" s="138"/>
      <c r="I18" s="139"/>
    </row>
    <row r="19" spans="2:9" ht="15.6" x14ac:dyDescent="0.3">
      <c r="B19" s="140" t="s">
        <v>104</v>
      </c>
      <c r="C19" s="138"/>
      <c r="D19" s="138"/>
      <c r="E19" s="138"/>
      <c r="F19" s="138"/>
      <c r="G19" s="138"/>
      <c r="H19" s="138"/>
      <c r="I19" s="139"/>
    </row>
    <row r="20" spans="2:9" ht="15.6" x14ac:dyDescent="0.3">
      <c r="B20" s="137"/>
      <c r="C20" s="138"/>
      <c r="D20" s="138"/>
      <c r="E20" s="138"/>
      <c r="F20" s="138"/>
      <c r="G20" s="138"/>
      <c r="H20" s="138"/>
      <c r="I20" s="139"/>
    </row>
    <row r="21" spans="2:9" ht="15.6" x14ac:dyDescent="0.3">
      <c r="B21" s="137" t="s">
        <v>105</v>
      </c>
      <c r="C21" s="138"/>
      <c r="D21" s="138"/>
      <c r="E21" s="138"/>
      <c r="F21" s="138"/>
      <c r="G21" s="138"/>
      <c r="H21" s="138"/>
      <c r="I21" s="139"/>
    </row>
    <row r="22" spans="2:9" ht="15.6" x14ac:dyDescent="0.3">
      <c r="B22" s="137" t="s">
        <v>112</v>
      </c>
      <c r="C22" s="138"/>
      <c r="D22" s="138"/>
      <c r="E22" s="138"/>
      <c r="F22" s="138"/>
      <c r="G22" s="138"/>
      <c r="H22" s="138"/>
      <c r="I22" s="139"/>
    </row>
    <row r="23" spans="2:9" ht="15.6" x14ac:dyDescent="0.3">
      <c r="B23" s="137" t="s">
        <v>106</v>
      </c>
      <c r="C23" s="138"/>
      <c r="D23" s="138"/>
      <c r="E23" s="138"/>
      <c r="F23" s="138"/>
      <c r="G23" s="138"/>
      <c r="H23" s="138"/>
      <c r="I23" s="139"/>
    </row>
    <row r="24" spans="2:9" ht="15.6" x14ac:dyDescent="0.3">
      <c r="B24" s="137" t="s">
        <v>107</v>
      </c>
      <c r="C24" s="138"/>
      <c r="D24" s="138"/>
      <c r="E24" s="138"/>
      <c r="F24" s="138"/>
      <c r="G24" s="138"/>
      <c r="H24" s="138"/>
      <c r="I24" s="139"/>
    </row>
    <row r="25" spans="2:9" ht="15.6" x14ac:dyDescent="0.3">
      <c r="B25" s="137"/>
      <c r="C25" s="138"/>
      <c r="D25" s="138"/>
      <c r="E25" s="138"/>
      <c r="F25" s="138"/>
      <c r="G25" s="138"/>
      <c r="H25" s="138"/>
      <c r="I25" s="139"/>
    </row>
    <row r="26" spans="2:9" ht="15.6" x14ac:dyDescent="0.3">
      <c r="B26" s="137" t="s">
        <v>108</v>
      </c>
      <c r="C26" s="141" t="s">
        <v>109</v>
      </c>
      <c r="D26" s="138"/>
      <c r="E26" s="138"/>
      <c r="F26" s="138"/>
      <c r="G26" s="138"/>
      <c r="H26" s="138"/>
      <c r="I26" s="139"/>
    </row>
    <row r="27" spans="2:9" ht="15.6" x14ac:dyDescent="0.3">
      <c r="B27" s="137" t="s">
        <v>110</v>
      </c>
      <c r="C27" s="149" t="s">
        <v>111</v>
      </c>
      <c r="D27" s="138"/>
      <c r="E27" s="138"/>
      <c r="F27" s="138"/>
      <c r="G27" s="138"/>
      <c r="H27" s="138"/>
      <c r="I27" s="139"/>
    </row>
    <row r="28" spans="2:9" ht="15.6" x14ac:dyDescent="0.3">
      <c r="B28" s="137"/>
      <c r="C28" s="138"/>
      <c r="D28" s="138"/>
      <c r="E28" s="138"/>
      <c r="F28" s="138"/>
      <c r="G28" s="138"/>
      <c r="H28" s="138"/>
      <c r="I28" s="139"/>
    </row>
    <row r="29" spans="2:9" ht="15.6" x14ac:dyDescent="0.3">
      <c r="B29" s="142"/>
      <c r="C29" s="131"/>
      <c r="D29" s="131"/>
      <c r="E29" s="131"/>
      <c r="F29" s="131"/>
      <c r="G29" s="131"/>
      <c r="H29" s="131"/>
      <c r="I29" s="143"/>
    </row>
    <row r="30" spans="2:9" ht="16.2" thickBot="1" x14ac:dyDescent="0.35">
      <c r="B30" s="144"/>
      <c r="C30" s="145"/>
      <c r="D30" s="145"/>
      <c r="E30" s="145"/>
      <c r="F30" s="145"/>
      <c r="G30" s="145"/>
      <c r="H30" s="145"/>
      <c r="I30" s="146"/>
    </row>
  </sheetData>
  <hyperlinks>
    <hyperlink ref="C26" r:id="rId1" display="https://www.linkedin.com/public-profile/settings" xr:uid="{B251070F-75F3-4CE1-A308-3061CAD88E12}"/>
    <hyperlink ref="C27" r:id="rId2" xr:uid="{DF262388-5DA6-4DFD-BAA0-5868A5730A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55"/>
  <sheetViews>
    <sheetView showGridLines="0" tabSelected="1" topLeftCell="A4" workbookViewId="0">
      <selection activeCell="H259" sqref="H259"/>
    </sheetView>
  </sheetViews>
  <sheetFormatPr defaultRowHeight="13.8" outlineLevelRow="1" x14ac:dyDescent="0.25"/>
  <cols>
    <col min="1" max="1" width="8.88671875" style="3"/>
    <col min="2" max="2" width="2.109375" style="3" customWidth="1"/>
    <col min="3" max="3" width="10.6640625" style="3" customWidth="1"/>
    <col min="4" max="5" width="8.88671875" style="3"/>
    <col min="6" max="7" width="11.21875" style="3" bestFit="1" customWidth="1"/>
    <col min="8" max="8" width="14.109375" style="3" bestFit="1" customWidth="1"/>
    <col min="9" max="11" width="12.33203125" style="3" bestFit="1" customWidth="1"/>
    <col min="12" max="15" width="13.33203125" style="3" bestFit="1" customWidth="1"/>
    <col min="16" max="16384" width="8.88671875" style="3"/>
  </cols>
  <sheetData>
    <row r="1" spans="2:15" ht="35.4" x14ac:dyDescent="0.6">
      <c r="B1" s="2"/>
      <c r="C1" s="133" t="s">
        <v>99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4" spans="2:15" ht="20.399999999999999" x14ac:dyDescent="0.35">
      <c r="B4" s="129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15" hidden="1" outlineLevel="1" x14ac:dyDescent="0.25"/>
    <row r="6" spans="2:15" ht="14.4" hidden="1" outlineLevel="1" thickBot="1" x14ac:dyDescent="0.3">
      <c r="B6" s="4" t="s">
        <v>1</v>
      </c>
      <c r="H6" s="5">
        <v>2027</v>
      </c>
      <c r="I6" s="5">
        <v>2020</v>
      </c>
      <c r="J6" s="5">
        <v>2021</v>
      </c>
      <c r="K6" s="6">
        <v>2022</v>
      </c>
      <c r="L6" s="6">
        <v>2023</v>
      </c>
      <c r="M6" s="6">
        <v>2024</v>
      </c>
      <c r="N6" s="6">
        <v>2025</v>
      </c>
      <c r="O6" s="6">
        <v>2026</v>
      </c>
    </row>
    <row r="7" spans="2:15" hidden="1" outlineLevel="1" x14ac:dyDescent="0.25"/>
    <row r="8" spans="2:15" hidden="1" outlineLevel="1" x14ac:dyDescent="0.25">
      <c r="B8" s="3" t="s">
        <v>2</v>
      </c>
      <c r="H8" s="7">
        <v>365</v>
      </c>
      <c r="I8" s="8">
        <v>365</v>
      </c>
      <c r="J8" s="8">
        <v>365</v>
      </c>
      <c r="K8" s="8">
        <v>365</v>
      </c>
      <c r="L8" s="8">
        <v>365</v>
      </c>
      <c r="M8" s="8">
        <v>365</v>
      </c>
      <c r="N8" s="8">
        <v>365</v>
      </c>
      <c r="O8" s="9">
        <v>365</v>
      </c>
    </row>
    <row r="9" spans="2:15" hidden="1" outlineLevel="1" x14ac:dyDescent="0.25"/>
    <row r="10" spans="2:15" hidden="1" outlineLevel="1" x14ac:dyDescent="0.25"/>
    <row r="11" spans="2:15" hidden="1" outlineLevel="1" x14ac:dyDescent="0.25">
      <c r="B11" s="10" t="s">
        <v>3</v>
      </c>
    </row>
    <row r="12" spans="2:15" hidden="1" outlineLevel="1" x14ac:dyDescent="0.25"/>
    <row r="13" spans="2:15" hidden="1" outlineLevel="1" x14ac:dyDescent="0.25">
      <c r="C13" s="3" t="s">
        <v>4</v>
      </c>
      <c r="H13" s="11"/>
      <c r="I13" s="12">
        <f>I15/H15-1</f>
        <v>1.9650655021834051E-2</v>
      </c>
      <c r="J13" s="12">
        <f>J15/I15-1</f>
        <v>2.0699500356887945E-2</v>
      </c>
      <c r="K13" s="13">
        <v>0.02</v>
      </c>
      <c r="L13" s="13">
        <v>0.01</v>
      </c>
      <c r="M13" s="13">
        <v>0.01</v>
      </c>
      <c r="N13" s="13">
        <v>5.0000000000000001E-3</v>
      </c>
      <c r="O13" s="13">
        <v>5.0000000000000001E-3</v>
      </c>
    </row>
    <row r="14" spans="2:15" hidden="1" outlineLevel="1" x14ac:dyDescent="0.25">
      <c r="H14" s="11"/>
      <c r="I14" s="14"/>
      <c r="J14" s="14"/>
      <c r="K14" s="15"/>
      <c r="L14" s="15"/>
      <c r="M14" s="15"/>
      <c r="N14" s="15"/>
      <c r="O14" s="15"/>
    </row>
    <row r="15" spans="2:15" hidden="1" outlineLevel="1" x14ac:dyDescent="0.25">
      <c r="C15" s="3" t="s">
        <v>5</v>
      </c>
      <c r="F15" s="3" t="s">
        <v>7</v>
      </c>
      <c r="H15" s="16">
        <v>1374</v>
      </c>
      <c r="I15" s="16">
        <v>1401</v>
      </c>
      <c r="J15" s="16">
        <v>1430</v>
      </c>
      <c r="K15" s="17">
        <f>J15*(1+K13)</f>
        <v>1458.6000000000001</v>
      </c>
      <c r="L15" s="17">
        <f t="shared" ref="L15:O15" si="0">K15*(1+L13)</f>
        <v>1473.1860000000001</v>
      </c>
      <c r="M15" s="17">
        <f t="shared" si="0"/>
        <v>1487.9178600000002</v>
      </c>
      <c r="N15" s="17">
        <f t="shared" si="0"/>
        <v>1495.3574493000001</v>
      </c>
      <c r="O15" s="17">
        <f t="shared" si="0"/>
        <v>1502.8342365465001</v>
      </c>
    </row>
    <row r="16" spans="2:15" hidden="1" outlineLevel="1" x14ac:dyDescent="0.25">
      <c r="C16" s="3" t="s">
        <v>6</v>
      </c>
      <c r="F16" s="3" t="s">
        <v>7</v>
      </c>
      <c r="H16" s="18">
        <v>1500</v>
      </c>
      <c r="I16" s="18">
        <v>1500</v>
      </c>
      <c r="J16" s="18">
        <v>1500</v>
      </c>
      <c r="K16" s="18">
        <v>1500</v>
      </c>
      <c r="L16" s="18">
        <v>1500</v>
      </c>
      <c r="M16" s="18">
        <v>1500</v>
      </c>
      <c r="N16" s="18">
        <v>1500</v>
      </c>
      <c r="O16" s="18">
        <v>1500</v>
      </c>
    </row>
    <row r="17" spans="2:15" hidden="1" outlineLevel="1" x14ac:dyDescent="0.25">
      <c r="C17" s="3" t="s">
        <v>8</v>
      </c>
      <c r="H17" s="12">
        <f>H15/H16</f>
        <v>0.91600000000000004</v>
      </c>
      <c r="I17" s="12">
        <f t="shared" ref="I17:O17" si="1">I15/I16</f>
        <v>0.93400000000000005</v>
      </c>
      <c r="J17" s="12">
        <f t="shared" si="1"/>
        <v>0.95333333333333337</v>
      </c>
      <c r="K17" s="12">
        <f t="shared" si="1"/>
        <v>0.97240000000000004</v>
      </c>
      <c r="L17" s="12">
        <f t="shared" si="1"/>
        <v>0.98212400000000011</v>
      </c>
      <c r="M17" s="12">
        <f t="shared" si="1"/>
        <v>0.99194524000000017</v>
      </c>
      <c r="N17" s="12">
        <f t="shared" si="1"/>
        <v>0.99690496620000002</v>
      </c>
      <c r="O17" s="12">
        <f t="shared" si="1"/>
        <v>1.0018894910310001</v>
      </c>
    </row>
    <row r="18" spans="2:15" hidden="1" outlineLevel="1" x14ac:dyDescent="0.25"/>
    <row r="19" spans="2:15" hidden="1" outlineLevel="1" x14ac:dyDescent="0.25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2:15" hidden="1" outlineLevel="1" x14ac:dyDescent="0.25"/>
    <row r="21" spans="2:15" hidden="1" outlineLevel="1" x14ac:dyDescent="0.25"/>
    <row r="22" spans="2:15" hidden="1" outlineLevel="1" x14ac:dyDescent="0.25">
      <c r="B22" s="10" t="s">
        <v>9</v>
      </c>
    </row>
    <row r="23" spans="2:15" hidden="1" outlineLevel="1" x14ac:dyDescent="0.25"/>
    <row r="24" spans="2:15" hidden="1" outlineLevel="1" x14ac:dyDescent="0.25">
      <c r="C24" s="3" t="str">
        <f>B8</f>
        <v>Days In period</v>
      </c>
      <c r="H24" s="3">
        <f>H8</f>
        <v>365</v>
      </c>
      <c r="I24" s="3">
        <f t="shared" ref="I24:O24" si="2">I8</f>
        <v>365</v>
      </c>
      <c r="J24" s="3">
        <f t="shared" si="2"/>
        <v>365</v>
      </c>
      <c r="K24" s="3">
        <f t="shared" si="2"/>
        <v>365</v>
      </c>
      <c r="L24" s="3">
        <f t="shared" si="2"/>
        <v>365</v>
      </c>
      <c r="M24" s="3">
        <f t="shared" si="2"/>
        <v>365</v>
      </c>
      <c r="N24" s="3">
        <f t="shared" si="2"/>
        <v>365</v>
      </c>
      <c r="O24" s="3">
        <f t="shared" si="2"/>
        <v>365</v>
      </c>
    </row>
    <row r="25" spans="2:15" hidden="1" outlineLevel="1" x14ac:dyDescent="0.25">
      <c r="C25" s="3" t="str">
        <f>C15</f>
        <v>Sales Volume</v>
      </c>
      <c r="F25" s="3" t="str">
        <f>F16</f>
        <v>Unit/ Day</v>
      </c>
      <c r="H25" s="20">
        <f>H15</f>
        <v>1374</v>
      </c>
      <c r="I25" s="20">
        <f t="shared" ref="I25:O25" si="3">I15</f>
        <v>1401</v>
      </c>
      <c r="J25" s="20">
        <f t="shared" si="3"/>
        <v>1430</v>
      </c>
      <c r="K25" s="20">
        <f t="shared" si="3"/>
        <v>1458.6000000000001</v>
      </c>
      <c r="L25" s="20">
        <f t="shared" si="3"/>
        <v>1473.1860000000001</v>
      </c>
      <c r="M25" s="20">
        <f t="shared" si="3"/>
        <v>1487.9178600000002</v>
      </c>
      <c r="N25" s="20">
        <f t="shared" si="3"/>
        <v>1495.3574493000001</v>
      </c>
      <c r="O25" s="20">
        <f t="shared" si="3"/>
        <v>1502.8342365465001</v>
      </c>
    </row>
    <row r="26" spans="2:15" hidden="1" outlineLevel="1" x14ac:dyDescent="0.25">
      <c r="C26" s="3" t="s">
        <v>5</v>
      </c>
      <c r="F26" s="3" t="s">
        <v>27</v>
      </c>
      <c r="H26" s="20">
        <f>H24*H25</f>
        <v>501510</v>
      </c>
      <c r="I26" s="20">
        <f t="shared" ref="I26:O26" si="4">I24*I25</f>
        <v>511365</v>
      </c>
      <c r="J26" s="20">
        <f t="shared" si="4"/>
        <v>521950</v>
      </c>
      <c r="K26" s="20">
        <f t="shared" si="4"/>
        <v>532389</v>
      </c>
      <c r="L26" s="20">
        <f t="shared" si="4"/>
        <v>537712.89</v>
      </c>
      <c r="M26" s="20">
        <f t="shared" si="4"/>
        <v>543090.01890000014</v>
      </c>
      <c r="N26" s="20">
        <f t="shared" si="4"/>
        <v>545805.4689945</v>
      </c>
      <c r="O26" s="20">
        <f t="shared" si="4"/>
        <v>548534.49633947248</v>
      </c>
    </row>
    <row r="27" spans="2:15" hidden="1" outlineLevel="1" x14ac:dyDescent="0.25"/>
    <row r="28" spans="2:15" hidden="1" outlineLevel="1" x14ac:dyDescent="0.25"/>
    <row r="29" spans="2:15" hidden="1" outlineLevel="1" x14ac:dyDescent="0.25">
      <c r="B29" s="10" t="s">
        <v>10</v>
      </c>
    </row>
    <row r="30" spans="2:15" hidden="1" outlineLevel="1" x14ac:dyDescent="0.25">
      <c r="B30" s="10"/>
    </row>
    <row r="31" spans="2:15" hidden="1" outlineLevel="1" x14ac:dyDescent="0.25">
      <c r="C31" s="3" t="s">
        <v>11</v>
      </c>
      <c r="H31" s="21"/>
      <c r="I31" s="22">
        <f>I32/H32-1</f>
        <v>1.701341629399189E-2</v>
      </c>
      <c r="J31" s="22">
        <f>J32/I32-1</f>
        <v>2.1030494216614182E-2</v>
      </c>
      <c r="K31" s="23">
        <v>0.03</v>
      </c>
      <c r="L31" s="23">
        <v>0.01</v>
      </c>
      <c r="M31" s="23">
        <v>0.01</v>
      </c>
      <c r="N31" s="23">
        <v>0.01</v>
      </c>
      <c r="O31" s="23">
        <v>5.0000000000000001E-3</v>
      </c>
    </row>
    <row r="32" spans="2:15" hidden="1" outlineLevel="1" x14ac:dyDescent="0.25">
      <c r="C32" s="3" t="s">
        <v>12</v>
      </c>
      <c r="F32" s="3" t="s">
        <v>13</v>
      </c>
      <c r="H32" s="24">
        <v>102.86</v>
      </c>
      <c r="I32" s="24">
        <v>104.61</v>
      </c>
      <c r="J32" s="24">
        <v>106.81</v>
      </c>
      <c r="K32" s="25">
        <f>J32*(1+K31)</f>
        <v>110.01430000000001</v>
      </c>
      <c r="L32" s="25">
        <f t="shared" ref="L32:O32" si="5">K32*(1+L31)</f>
        <v>111.11444300000001</v>
      </c>
      <c r="M32" s="25">
        <f t="shared" si="5"/>
        <v>112.22558743</v>
      </c>
      <c r="N32" s="25">
        <f t="shared" si="5"/>
        <v>113.3478433043</v>
      </c>
      <c r="O32" s="25">
        <f t="shared" si="5"/>
        <v>113.91458252082148</v>
      </c>
    </row>
    <row r="33" spans="2:15" hidden="1" outlineLevel="1" x14ac:dyDescent="0.25"/>
    <row r="34" spans="2:15" hidden="1" outlineLevel="1" x14ac:dyDescent="0.25"/>
    <row r="35" spans="2:15" hidden="1" outlineLevel="1" x14ac:dyDescent="0.25">
      <c r="B35" s="10" t="s">
        <v>14</v>
      </c>
    </row>
    <row r="36" spans="2:15" hidden="1" outlineLevel="1" x14ac:dyDescent="0.25">
      <c r="C36" s="3" t="s">
        <v>5</v>
      </c>
      <c r="F36" s="3" t="s">
        <v>27</v>
      </c>
      <c r="H36" s="20">
        <f>H26</f>
        <v>501510</v>
      </c>
      <c r="I36" s="20">
        <f t="shared" ref="I36:O36" si="6">I26</f>
        <v>511365</v>
      </c>
      <c r="J36" s="20">
        <f t="shared" si="6"/>
        <v>521950</v>
      </c>
      <c r="K36" s="20">
        <f>K26</f>
        <v>532389</v>
      </c>
      <c r="L36" s="20">
        <f t="shared" si="6"/>
        <v>537712.89</v>
      </c>
      <c r="M36" s="20">
        <f t="shared" si="6"/>
        <v>543090.01890000014</v>
      </c>
      <c r="N36" s="20">
        <f t="shared" si="6"/>
        <v>545805.4689945</v>
      </c>
      <c r="O36" s="20">
        <f t="shared" si="6"/>
        <v>548534.49633947248</v>
      </c>
    </row>
    <row r="37" spans="2:15" hidden="1" outlineLevel="1" x14ac:dyDescent="0.25">
      <c r="C37" s="3" t="s">
        <v>15</v>
      </c>
      <c r="F37" s="3" t="str">
        <f>F32</f>
        <v>USD/ Unit</v>
      </c>
      <c r="H37" s="26">
        <f>H32</f>
        <v>102.86</v>
      </c>
      <c r="I37" s="26">
        <f>I32</f>
        <v>104.61</v>
      </c>
      <c r="J37" s="26">
        <f t="shared" ref="J37:O37" si="7">J32</f>
        <v>106.81</v>
      </c>
      <c r="K37" s="26">
        <f>K32</f>
        <v>110.01430000000001</v>
      </c>
      <c r="L37" s="26">
        <f t="shared" si="7"/>
        <v>111.11444300000001</v>
      </c>
      <c r="M37" s="26">
        <f t="shared" si="7"/>
        <v>112.22558743</v>
      </c>
      <c r="N37" s="26">
        <f t="shared" si="7"/>
        <v>113.3478433043</v>
      </c>
      <c r="O37" s="26">
        <f t="shared" si="7"/>
        <v>113.91458252082148</v>
      </c>
    </row>
    <row r="38" spans="2:15" ht="14.4" hidden="1" outlineLevel="1" thickBot="1" x14ac:dyDescent="0.3">
      <c r="C38" s="3" t="s">
        <v>14</v>
      </c>
      <c r="H38" s="27">
        <f>H36*H37/10^3</f>
        <v>51585.318599999999</v>
      </c>
      <c r="I38" s="27">
        <f t="shared" ref="I38:O38" si="8">I36*I37/10^3</f>
        <v>53493.892650000002</v>
      </c>
      <c r="J38" s="27">
        <f t="shared" si="8"/>
        <v>55749.479500000001</v>
      </c>
      <c r="K38" s="27">
        <f>K36*K37/10^3</f>
        <v>58570.403162700008</v>
      </c>
      <c r="L38" s="27">
        <f t="shared" si="8"/>
        <v>59747.668266270273</v>
      </c>
      <c r="M38" s="27">
        <f t="shared" si="8"/>
        <v>60948.59639842232</v>
      </c>
      <c r="N38" s="27">
        <f t="shared" si="8"/>
        <v>61865.872774218558</v>
      </c>
      <c r="O38" s="27">
        <f t="shared" si="8"/>
        <v>62486.078148780085</v>
      </c>
    </row>
    <row r="39" spans="2:15" hidden="1" outlineLevel="1" x14ac:dyDescent="0.25"/>
    <row r="40" spans="2:15" hidden="1" outlineLevel="1" x14ac:dyDescent="0.25"/>
    <row r="41" spans="2:15" hidden="1" outlineLevel="1" x14ac:dyDescent="0.25"/>
    <row r="42" spans="2:15" hidden="1" outlineLevel="1" x14ac:dyDescent="0.25">
      <c r="B42" s="10" t="s">
        <v>16</v>
      </c>
      <c r="H42" s="28" t="str">
        <f>IF(H17&gt;100%, "Yes","No")</f>
        <v>No</v>
      </c>
      <c r="I42" s="29" t="str">
        <f t="shared" ref="I42:O42" si="9">IF(I17&gt;100%, "Yes","No")</f>
        <v>No</v>
      </c>
      <c r="J42" s="29" t="str">
        <f t="shared" si="9"/>
        <v>No</v>
      </c>
      <c r="K42" s="29" t="str">
        <f t="shared" si="9"/>
        <v>No</v>
      </c>
      <c r="L42" s="29" t="str">
        <f t="shared" si="9"/>
        <v>No</v>
      </c>
      <c r="M42" s="29" t="str">
        <f t="shared" si="9"/>
        <v>No</v>
      </c>
      <c r="N42" s="29" t="str">
        <f t="shared" si="9"/>
        <v>No</v>
      </c>
      <c r="O42" s="30" t="str">
        <f t="shared" si="9"/>
        <v>Yes</v>
      </c>
    </row>
    <row r="43" spans="2:15" hidden="1" outlineLevel="1" x14ac:dyDescent="0.25"/>
    <row r="44" spans="2:15" hidden="1" outlineLevel="1" x14ac:dyDescent="0.25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</row>
    <row r="45" spans="2:15" collapsed="1" x14ac:dyDescent="0.25"/>
    <row r="46" spans="2:15" ht="20.399999999999999" x14ac:dyDescent="0.35">
      <c r="B46" s="129" t="s">
        <v>17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2:15" hidden="1" outlineLevel="1" x14ac:dyDescent="0.25"/>
    <row r="48" spans="2:15" ht="14.4" hidden="1" outlineLevel="1" thickBot="1" x14ac:dyDescent="0.3">
      <c r="B48" s="4" t="s">
        <v>1</v>
      </c>
      <c r="H48" s="5">
        <v>2027</v>
      </c>
      <c r="I48" s="5">
        <v>2020</v>
      </c>
      <c r="J48" s="5">
        <v>2021</v>
      </c>
      <c r="K48" s="6">
        <v>2022</v>
      </c>
      <c r="L48" s="6">
        <v>2023</v>
      </c>
      <c r="M48" s="6">
        <v>2024</v>
      </c>
      <c r="N48" s="6">
        <v>2025</v>
      </c>
      <c r="O48" s="6">
        <v>2026</v>
      </c>
    </row>
    <row r="49" spans="2:15" hidden="1" outlineLevel="1" x14ac:dyDescent="0.25"/>
    <row r="50" spans="2:15" hidden="1" outlineLevel="1" x14ac:dyDescent="0.25">
      <c r="C50" s="3" t="s">
        <v>5</v>
      </c>
      <c r="F50" s="3" t="str">
        <f>F36</f>
        <v>Unit</v>
      </c>
      <c r="H50" s="31">
        <f>H36</f>
        <v>501510</v>
      </c>
      <c r="I50" s="32">
        <f t="shared" ref="I50:O50" si="10">I36</f>
        <v>511365</v>
      </c>
      <c r="J50" s="32">
        <f t="shared" si="10"/>
        <v>521950</v>
      </c>
      <c r="K50" s="32">
        <f t="shared" si="10"/>
        <v>532389</v>
      </c>
      <c r="L50" s="32">
        <f t="shared" si="10"/>
        <v>537712.89</v>
      </c>
      <c r="M50" s="32">
        <f t="shared" si="10"/>
        <v>543090.01890000014</v>
      </c>
      <c r="N50" s="32">
        <f t="shared" si="10"/>
        <v>545805.4689945</v>
      </c>
      <c r="O50" s="33">
        <f t="shared" si="10"/>
        <v>548534.49633947248</v>
      </c>
    </row>
    <row r="51" spans="2:15" hidden="1" outlineLevel="1" x14ac:dyDescent="0.25">
      <c r="C51" s="3" t="s">
        <v>18</v>
      </c>
      <c r="H51" s="34">
        <v>2.4E-2</v>
      </c>
      <c r="I51" s="23">
        <v>2.1999999999999999E-2</v>
      </c>
      <c r="J51" s="23">
        <v>2.3E-2</v>
      </c>
      <c r="K51" s="23">
        <v>3.5000000000000003E-2</v>
      </c>
      <c r="L51" s="23">
        <v>0.03</v>
      </c>
      <c r="M51" s="23">
        <v>0.03</v>
      </c>
      <c r="N51" s="23">
        <v>2.5000000000000001E-2</v>
      </c>
      <c r="O51" s="35">
        <v>2.5000000000000001E-2</v>
      </c>
    </row>
    <row r="52" spans="2:15" hidden="1" outlineLevel="1" x14ac:dyDescent="0.25"/>
    <row r="53" spans="2:15" hidden="1" outlineLevel="1" x14ac:dyDescent="0.25">
      <c r="B53" s="10" t="s">
        <v>19</v>
      </c>
    </row>
    <row r="54" spans="2:15" hidden="1" outlineLevel="1" x14ac:dyDescent="0.25"/>
    <row r="55" spans="2:15" hidden="1" outlineLevel="1" x14ac:dyDescent="0.25">
      <c r="C55" s="3" t="s">
        <v>20</v>
      </c>
      <c r="F55" s="3" t="s">
        <v>13</v>
      </c>
      <c r="H55" s="24">
        <v>9.51</v>
      </c>
      <c r="I55" s="24">
        <v>9.7200000000000006</v>
      </c>
      <c r="J55" s="24">
        <v>9.91</v>
      </c>
      <c r="K55" s="36">
        <f>J55*(1+K$51)</f>
        <v>10.25685</v>
      </c>
      <c r="L55" s="36">
        <f t="shared" ref="L55:O55" si="11">K55*(1+L$51)</f>
        <v>10.564555500000001</v>
      </c>
      <c r="M55" s="36">
        <f t="shared" si="11"/>
        <v>10.881492165000001</v>
      </c>
      <c r="N55" s="36">
        <f t="shared" si="11"/>
        <v>11.153529469125001</v>
      </c>
      <c r="O55" s="36">
        <f t="shared" si="11"/>
        <v>11.432367705853125</v>
      </c>
    </row>
    <row r="56" spans="2:15" hidden="1" outlineLevel="1" x14ac:dyDescent="0.25">
      <c r="C56" s="3" t="s">
        <v>21</v>
      </c>
      <c r="F56" s="3" t="s">
        <v>13</v>
      </c>
      <c r="H56" s="24">
        <v>0.82</v>
      </c>
      <c r="I56" s="24">
        <v>0.84</v>
      </c>
      <c r="J56" s="24">
        <v>0.86</v>
      </c>
      <c r="K56" s="36">
        <f>J56*(1+K$51)</f>
        <v>0.89009999999999989</v>
      </c>
      <c r="L56" s="36">
        <f t="shared" ref="L56:O56" si="12">K56*(1+L$51)</f>
        <v>0.91680299999999992</v>
      </c>
      <c r="M56" s="36">
        <f t="shared" si="12"/>
        <v>0.9443070899999999</v>
      </c>
      <c r="N56" s="36">
        <f t="shared" si="12"/>
        <v>0.96791476724999981</v>
      </c>
      <c r="O56" s="36">
        <f t="shared" si="12"/>
        <v>0.99211263643124969</v>
      </c>
    </row>
    <row r="57" spans="2:15" hidden="1" outlineLevel="1" x14ac:dyDescent="0.25">
      <c r="C57" s="3" t="s">
        <v>22</v>
      </c>
      <c r="F57" s="3" t="s">
        <v>13</v>
      </c>
      <c r="H57" s="37">
        <v>1.54</v>
      </c>
      <c r="I57" s="37">
        <v>1.58</v>
      </c>
      <c r="J57" s="37">
        <v>1.62</v>
      </c>
      <c r="K57" s="38">
        <f>J57*(1+K$51)</f>
        <v>1.6767000000000001</v>
      </c>
      <c r="L57" s="38">
        <f t="shared" ref="L57:O57" si="13">K57*(1+L$51)</f>
        <v>1.7270010000000002</v>
      </c>
      <c r="M57" s="38">
        <f t="shared" si="13"/>
        <v>1.7788110300000002</v>
      </c>
      <c r="N57" s="38">
        <f t="shared" si="13"/>
        <v>1.8232813057500001</v>
      </c>
      <c r="O57" s="38">
        <f t="shared" si="13"/>
        <v>1.8688633383937501</v>
      </c>
    </row>
    <row r="58" spans="2:15" hidden="1" outlineLevel="1" x14ac:dyDescent="0.25">
      <c r="C58" s="3" t="s">
        <v>23</v>
      </c>
      <c r="H58" s="39">
        <f>SUM(H55:H57)</f>
        <v>11.870000000000001</v>
      </c>
      <c r="I58" s="39">
        <f t="shared" ref="I58:O58" si="14">SUM(I55:I57)</f>
        <v>12.14</v>
      </c>
      <c r="J58" s="39">
        <f t="shared" si="14"/>
        <v>12.39</v>
      </c>
      <c r="K58" s="39">
        <f t="shared" si="14"/>
        <v>12.823650000000001</v>
      </c>
      <c r="L58" s="39">
        <f t="shared" si="14"/>
        <v>13.2083595</v>
      </c>
      <c r="M58" s="39">
        <f t="shared" si="14"/>
        <v>13.604610285000001</v>
      </c>
      <c r="N58" s="39">
        <f t="shared" si="14"/>
        <v>13.944725542124999</v>
      </c>
      <c r="O58" s="39">
        <f t="shared" si="14"/>
        <v>14.293343680678124</v>
      </c>
    </row>
    <row r="59" spans="2:15" hidden="1" outlineLevel="1" x14ac:dyDescent="0.25"/>
    <row r="60" spans="2:15" hidden="1" outlineLevel="1" x14ac:dyDescent="0.25">
      <c r="C60" s="3" t="s">
        <v>20</v>
      </c>
      <c r="H60" s="40">
        <f>H$50*H55/10^3</f>
        <v>4769.3600999999999</v>
      </c>
      <c r="I60" s="40">
        <f t="shared" ref="I60:O60" si="15">I$50*I55/10^3</f>
        <v>4970.4678000000004</v>
      </c>
      <c r="J60" s="40">
        <f t="shared" si="15"/>
        <v>5172.5245000000004</v>
      </c>
      <c r="K60" s="40">
        <f t="shared" si="15"/>
        <v>5460.6341146499999</v>
      </c>
      <c r="L60" s="40">
        <f t="shared" si="15"/>
        <v>5680.6976694703962</v>
      </c>
      <c r="M60" s="40">
        <f t="shared" si="15"/>
        <v>5909.6297855500543</v>
      </c>
      <c r="N60" s="40">
        <f t="shared" si="15"/>
        <v>6087.6573828397477</v>
      </c>
      <c r="O60" s="40">
        <f t="shared" si="15"/>
        <v>6271.0480614977942</v>
      </c>
    </row>
    <row r="61" spans="2:15" hidden="1" outlineLevel="1" x14ac:dyDescent="0.25">
      <c r="C61" s="3" t="s">
        <v>21</v>
      </c>
      <c r="H61" s="40">
        <f>H$50*H56/10^3</f>
        <v>411.23819999999995</v>
      </c>
      <c r="I61" s="40">
        <f t="shared" ref="I61:O61" si="16">I$50*I56/10^3</f>
        <v>429.54659999999996</v>
      </c>
      <c r="J61" s="40">
        <f t="shared" si="16"/>
        <v>448.87700000000001</v>
      </c>
      <c r="K61" s="40">
        <f t="shared" si="16"/>
        <v>473.87944889999994</v>
      </c>
      <c r="L61" s="40">
        <f t="shared" si="16"/>
        <v>492.97679069066999</v>
      </c>
      <c r="M61" s="40">
        <f t="shared" si="16"/>
        <v>512.84375535550407</v>
      </c>
      <c r="N61" s="40">
        <f t="shared" si="16"/>
        <v>528.29317348558845</v>
      </c>
      <c r="O61" s="40">
        <f t="shared" si="16"/>
        <v>544.20800533684167</v>
      </c>
    </row>
    <row r="62" spans="2:15" hidden="1" outlineLevel="1" x14ac:dyDescent="0.25">
      <c r="C62" s="3" t="s">
        <v>22</v>
      </c>
      <c r="H62" s="41">
        <f>H$50*H57/10^3</f>
        <v>772.32540000000006</v>
      </c>
      <c r="I62" s="41">
        <f t="shared" ref="I62:O62" si="17">I$50*I57/10^3</f>
        <v>807.95670000000007</v>
      </c>
      <c r="J62" s="41">
        <f t="shared" si="17"/>
        <v>845.55899999999997</v>
      </c>
      <c r="K62" s="41">
        <f t="shared" si="17"/>
        <v>892.65663630000006</v>
      </c>
      <c r="L62" s="41">
        <f t="shared" si="17"/>
        <v>928.6306987428901</v>
      </c>
      <c r="M62" s="41">
        <f t="shared" si="17"/>
        <v>966.05451590222879</v>
      </c>
      <c r="N62" s="41">
        <f t="shared" si="17"/>
        <v>995.15690819378312</v>
      </c>
      <c r="O62" s="41">
        <f t="shared" si="17"/>
        <v>1025.1360100531208</v>
      </c>
    </row>
    <row r="63" spans="2:15" hidden="1" outlineLevel="1" x14ac:dyDescent="0.25">
      <c r="C63" s="3" t="s">
        <v>23</v>
      </c>
      <c r="H63" s="40">
        <f>SUM(H60:H62)</f>
        <v>5952.9236999999994</v>
      </c>
      <c r="I63" s="40">
        <f t="shared" ref="I63:O63" si="18">SUM(I60:I62)</f>
        <v>6207.9710999999998</v>
      </c>
      <c r="J63" s="40">
        <f t="shared" si="18"/>
        <v>6466.960500000001</v>
      </c>
      <c r="K63" s="40">
        <f>SUM(K60:K62)</f>
        <v>6827.1701998500002</v>
      </c>
      <c r="L63" s="40">
        <f t="shared" si="18"/>
        <v>7102.305158903956</v>
      </c>
      <c r="M63" s="40">
        <f t="shared" si="18"/>
        <v>7388.5280568077869</v>
      </c>
      <c r="N63" s="40">
        <f t="shared" si="18"/>
        <v>7611.1074645191193</v>
      </c>
      <c r="O63" s="40">
        <f t="shared" si="18"/>
        <v>7840.392076887757</v>
      </c>
    </row>
    <row r="64" spans="2:15" hidden="1" outlineLevel="1" x14ac:dyDescent="0.25"/>
    <row r="65" spans="2:15" hidden="1" outlineLevel="1" x14ac:dyDescent="0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2:15" hidden="1" outlineLevel="1" x14ac:dyDescent="0.25"/>
    <row r="67" spans="2:15" hidden="1" outlineLevel="1" x14ac:dyDescent="0.25">
      <c r="B67" s="10" t="s">
        <v>24</v>
      </c>
    </row>
    <row r="68" spans="2:15" hidden="1" outlineLevel="1" x14ac:dyDescent="0.25"/>
    <row r="69" spans="2:15" hidden="1" outlineLevel="1" x14ac:dyDescent="0.25">
      <c r="C69" s="3" t="s">
        <v>25</v>
      </c>
      <c r="F69" s="3" t="s">
        <v>13</v>
      </c>
      <c r="H69" s="42">
        <f>H74/$H$50</f>
        <v>3.1165879045283243E-2</v>
      </c>
      <c r="I69" s="42">
        <f t="shared" ref="I69:O69" si="19">I74/$H$50</f>
        <v>3.184981356303962E-2</v>
      </c>
      <c r="J69" s="42">
        <f t="shared" si="19"/>
        <v>3.258359753544296E-2</v>
      </c>
      <c r="K69" s="42">
        <f t="shared" si="19"/>
        <v>3.372402344918346E-2</v>
      </c>
      <c r="L69" s="42">
        <f t="shared" si="19"/>
        <v>3.4735744152658968E-2</v>
      </c>
      <c r="M69" s="42">
        <f t="shared" si="19"/>
        <v>3.5777816477238739E-2</v>
      </c>
      <c r="N69" s="42">
        <f t="shared" si="19"/>
        <v>3.6672261889169708E-2</v>
      </c>
      <c r="O69" s="42">
        <f t="shared" si="19"/>
        <v>3.7589068436398948E-2</v>
      </c>
    </row>
    <row r="70" spans="2:15" hidden="1" outlineLevel="1" x14ac:dyDescent="0.25">
      <c r="C70" s="3" t="s">
        <v>26</v>
      </c>
      <c r="F70" s="3" t="s">
        <v>13</v>
      </c>
      <c r="H70" s="42">
        <f>H75/$H$50</f>
        <v>7.2800143566429387E-3</v>
      </c>
      <c r="I70" s="42">
        <f t="shared" ref="I70:O70" si="20">I75/$H$50</f>
        <v>7.4395326115132302E-3</v>
      </c>
      <c r="J70" s="42">
        <f t="shared" si="20"/>
        <v>7.611014735498794E-3</v>
      </c>
      <c r="K70" s="42">
        <f t="shared" si="20"/>
        <v>7.8774002512412514E-3</v>
      </c>
      <c r="L70" s="42">
        <f t="shared" si="20"/>
        <v>8.1137222587784885E-3</v>
      </c>
      <c r="M70" s="42">
        <f t="shared" si="20"/>
        <v>8.3571339265418442E-3</v>
      </c>
      <c r="N70" s="42">
        <f t="shared" si="20"/>
        <v>8.5660622747053897E-3</v>
      </c>
      <c r="O70" s="42">
        <f t="shared" si="20"/>
        <v>8.7802138315730242E-3</v>
      </c>
    </row>
    <row r="71" spans="2:15" hidden="1" outlineLevel="1" x14ac:dyDescent="0.25">
      <c r="C71" s="3" t="s">
        <v>22</v>
      </c>
      <c r="F71" s="3" t="s">
        <v>13</v>
      </c>
      <c r="H71" s="43">
        <f>H76/$H$50</f>
        <v>4.9111682718191059E-3</v>
      </c>
      <c r="I71" s="43">
        <f t="shared" ref="I71:O71" si="21">I76/$H$50</f>
        <v>5.018843093856553E-3</v>
      </c>
      <c r="J71" s="43">
        <f t="shared" si="21"/>
        <v>5.1344938286375149E-3</v>
      </c>
      <c r="K71" s="43">
        <f t="shared" si="21"/>
        <v>5.3142011126398273E-3</v>
      </c>
      <c r="L71" s="43">
        <f t="shared" si="21"/>
        <v>5.4736271460190224E-3</v>
      </c>
      <c r="M71" s="43">
        <f t="shared" si="21"/>
        <v>5.6378359603995939E-3</v>
      </c>
      <c r="N71" s="43">
        <f t="shared" si="21"/>
        <v>5.7787818594095836E-3</v>
      </c>
      <c r="O71" s="43">
        <f t="shared" si="21"/>
        <v>5.923251405894823E-3</v>
      </c>
    </row>
    <row r="72" spans="2:15" hidden="1" outlineLevel="1" x14ac:dyDescent="0.25">
      <c r="C72" s="3" t="s">
        <v>23</v>
      </c>
      <c r="H72" s="42">
        <f>SUM(H69:H71)</f>
        <v>4.3357061673745284E-2</v>
      </c>
      <c r="I72" s="42">
        <f t="shared" ref="I72:O72" si="22">SUM(I69:I71)</f>
        <v>4.4308189268409404E-2</v>
      </c>
      <c r="J72" s="42">
        <f t="shared" si="22"/>
        <v>4.5329106099579269E-2</v>
      </c>
      <c r="K72" s="42">
        <f t="shared" si="22"/>
        <v>4.6915624813064535E-2</v>
      </c>
      <c r="L72" s="42">
        <f t="shared" si="22"/>
        <v>4.8323093557456481E-2</v>
      </c>
      <c r="M72" s="42">
        <f t="shared" si="22"/>
        <v>4.9772786364180178E-2</v>
      </c>
      <c r="N72" s="42">
        <f t="shared" si="22"/>
        <v>5.1017106023284679E-2</v>
      </c>
      <c r="O72" s="42">
        <f t="shared" si="22"/>
        <v>5.2292533673866798E-2</v>
      </c>
    </row>
    <row r="73" spans="2:15" hidden="1" outlineLevel="1" x14ac:dyDescent="0.25"/>
    <row r="74" spans="2:15" hidden="1" outlineLevel="1" x14ac:dyDescent="0.25">
      <c r="C74" s="3" t="s">
        <v>25</v>
      </c>
      <c r="H74" s="16">
        <v>15630</v>
      </c>
      <c r="I74" s="16">
        <v>15973</v>
      </c>
      <c r="J74" s="16">
        <v>16341</v>
      </c>
      <c r="K74" s="44">
        <f>J74*(1+K$51)</f>
        <v>16912.934999999998</v>
      </c>
      <c r="L74" s="40">
        <f t="shared" ref="L74:O74" si="23">K74*(1+L$51)</f>
        <v>17420.323049999999</v>
      </c>
      <c r="M74" s="40">
        <f t="shared" si="23"/>
        <v>17942.932741500001</v>
      </c>
      <c r="N74" s="40">
        <f t="shared" si="23"/>
        <v>18391.5060600375</v>
      </c>
      <c r="O74" s="40">
        <f t="shared" si="23"/>
        <v>18851.293711538437</v>
      </c>
    </row>
    <row r="75" spans="2:15" hidden="1" outlineLevel="1" x14ac:dyDescent="0.25">
      <c r="C75" s="3" t="s">
        <v>26</v>
      </c>
      <c r="H75" s="16">
        <v>3651</v>
      </c>
      <c r="I75" s="16">
        <v>3731</v>
      </c>
      <c r="J75" s="16">
        <v>3817</v>
      </c>
      <c r="K75" s="44">
        <f>J75*(1+K$51)</f>
        <v>3950.5949999999998</v>
      </c>
      <c r="L75" s="40">
        <f t="shared" ref="L75:O75" si="24">K75*(1+L$51)</f>
        <v>4069.11285</v>
      </c>
      <c r="M75" s="40">
        <f t="shared" si="24"/>
        <v>4191.1862355000003</v>
      </c>
      <c r="N75" s="40">
        <f t="shared" si="24"/>
        <v>4295.9658913875001</v>
      </c>
      <c r="O75" s="40">
        <f t="shared" si="24"/>
        <v>4403.3650386721874</v>
      </c>
    </row>
    <row r="76" spans="2:15" hidden="1" outlineLevel="1" x14ac:dyDescent="0.25">
      <c r="C76" s="3" t="s">
        <v>22</v>
      </c>
      <c r="H76" s="45">
        <v>2463</v>
      </c>
      <c r="I76" s="45">
        <v>2517</v>
      </c>
      <c r="J76" s="45">
        <v>2575</v>
      </c>
      <c r="K76" s="46">
        <f>J76*(1+K$51)</f>
        <v>2665.125</v>
      </c>
      <c r="L76" s="41">
        <f t="shared" ref="L76:O76" si="25">K76*(1+L$51)</f>
        <v>2745.0787500000001</v>
      </c>
      <c r="M76" s="41">
        <f t="shared" si="25"/>
        <v>2827.4311125000004</v>
      </c>
      <c r="N76" s="41">
        <f t="shared" si="25"/>
        <v>2898.1168903125003</v>
      </c>
      <c r="O76" s="41">
        <f t="shared" si="25"/>
        <v>2970.5698125703125</v>
      </c>
    </row>
    <row r="77" spans="2:15" hidden="1" outlineLevel="1" x14ac:dyDescent="0.25">
      <c r="C77" s="3" t="s">
        <v>23</v>
      </c>
      <c r="H77" s="26">
        <f>SUM(H74:H76)</f>
        <v>21744</v>
      </c>
      <c r="I77" s="26">
        <f t="shared" ref="I77:O77" si="26">SUM(I74:I76)</f>
        <v>22221</v>
      </c>
      <c r="J77" s="26">
        <f t="shared" si="26"/>
        <v>22733</v>
      </c>
      <c r="K77" s="26">
        <f t="shared" si="26"/>
        <v>23528.654999999999</v>
      </c>
      <c r="L77" s="26">
        <f t="shared" si="26"/>
        <v>24234.514650000001</v>
      </c>
      <c r="M77" s="26">
        <f t="shared" si="26"/>
        <v>24961.5500895</v>
      </c>
      <c r="N77" s="26">
        <f t="shared" si="26"/>
        <v>25585.588841737499</v>
      </c>
      <c r="O77" s="26">
        <f t="shared" si="26"/>
        <v>26225.22856278094</v>
      </c>
    </row>
    <row r="78" spans="2:15" hidden="1" outlineLevel="1" x14ac:dyDescent="0.25"/>
    <row r="79" spans="2:15" hidden="1" outlineLevel="1" x14ac:dyDescent="0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2:15" hidden="1" outlineLevel="1" x14ac:dyDescent="0.25"/>
    <row r="81" spans="2:15" hidden="1" outlineLevel="1" x14ac:dyDescent="0.25">
      <c r="B81" s="10" t="s">
        <v>28</v>
      </c>
    </row>
    <row r="82" spans="2:15" hidden="1" outlineLevel="1" x14ac:dyDescent="0.25"/>
    <row r="83" spans="2:15" hidden="1" outlineLevel="1" x14ac:dyDescent="0.25">
      <c r="C83" s="47" t="s">
        <v>19</v>
      </c>
      <c r="D83" s="48"/>
      <c r="F83" s="3" t="str">
        <f>F69</f>
        <v>USD/ Unit</v>
      </c>
      <c r="H83" s="39">
        <f>H58</f>
        <v>11.870000000000001</v>
      </c>
      <c r="I83" s="39">
        <f t="shared" ref="I83:O83" si="27">I58</f>
        <v>12.14</v>
      </c>
      <c r="J83" s="39">
        <f t="shared" si="27"/>
        <v>12.39</v>
      </c>
      <c r="K83" s="39">
        <f t="shared" si="27"/>
        <v>12.823650000000001</v>
      </c>
      <c r="L83" s="39">
        <f t="shared" si="27"/>
        <v>13.2083595</v>
      </c>
      <c r="M83" s="39">
        <f t="shared" si="27"/>
        <v>13.604610285000001</v>
      </c>
      <c r="N83" s="39">
        <f t="shared" si="27"/>
        <v>13.944725542124999</v>
      </c>
      <c r="O83" s="39">
        <f t="shared" si="27"/>
        <v>14.293343680678124</v>
      </c>
    </row>
    <row r="84" spans="2:15" hidden="1" outlineLevel="1" x14ac:dyDescent="0.25">
      <c r="C84" s="47" t="s">
        <v>24</v>
      </c>
      <c r="D84" s="48"/>
      <c r="F84" s="3" t="str">
        <f>F70</f>
        <v>USD/ Unit</v>
      </c>
      <c r="H84" s="43">
        <f>H72</f>
        <v>4.3357061673745284E-2</v>
      </c>
      <c r="I84" s="43">
        <f t="shared" ref="I84:O84" si="28">I72</f>
        <v>4.4308189268409404E-2</v>
      </c>
      <c r="J84" s="43">
        <f t="shared" si="28"/>
        <v>4.5329106099579269E-2</v>
      </c>
      <c r="K84" s="43">
        <f t="shared" si="28"/>
        <v>4.6915624813064535E-2</v>
      </c>
      <c r="L84" s="43">
        <f t="shared" si="28"/>
        <v>4.8323093557456481E-2</v>
      </c>
      <c r="M84" s="43">
        <f t="shared" si="28"/>
        <v>4.9772786364180178E-2</v>
      </c>
      <c r="N84" s="43">
        <f t="shared" si="28"/>
        <v>5.1017106023284679E-2</v>
      </c>
      <c r="O84" s="43">
        <f t="shared" si="28"/>
        <v>5.2292533673866798E-2</v>
      </c>
    </row>
    <row r="85" spans="2:15" hidden="1" outlineLevel="1" x14ac:dyDescent="0.25">
      <c r="C85" s="47" t="s">
        <v>29</v>
      </c>
      <c r="D85" s="48"/>
      <c r="F85" s="3" t="str">
        <f>F71</f>
        <v>USD/ Unit</v>
      </c>
      <c r="H85" s="39">
        <f>SUM(H83:H84)</f>
        <v>11.913357061673747</v>
      </c>
      <c r="I85" s="39">
        <f t="shared" ref="I85:O85" si="29">SUM(I83:I84)</f>
        <v>12.18430818926841</v>
      </c>
      <c r="J85" s="39">
        <f t="shared" si="29"/>
        <v>12.43532910609958</v>
      </c>
      <c r="K85" s="39">
        <f t="shared" si="29"/>
        <v>12.870565624813064</v>
      </c>
      <c r="L85" s="39">
        <f t="shared" si="29"/>
        <v>13.256682593557457</v>
      </c>
      <c r="M85" s="39">
        <f t="shared" si="29"/>
        <v>13.654383071364181</v>
      </c>
      <c r="N85" s="39">
        <f t="shared" si="29"/>
        <v>13.995742648148283</v>
      </c>
      <c r="O85" s="39">
        <f t="shared" si="29"/>
        <v>14.345636214351991</v>
      </c>
    </row>
    <row r="86" spans="2:15" hidden="1" outlineLevel="1" x14ac:dyDescent="0.25"/>
    <row r="87" spans="2:15" hidden="1" outlineLevel="1" x14ac:dyDescent="0.25">
      <c r="C87" s="47" t="s">
        <v>19</v>
      </c>
      <c r="H87" s="40">
        <f>H63</f>
        <v>5952.9236999999994</v>
      </c>
      <c r="I87" s="40">
        <f t="shared" ref="I87:O87" si="30">I63</f>
        <v>6207.9710999999998</v>
      </c>
      <c r="J87" s="40">
        <f t="shared" si="30"/>
        <v>6466.960500000001</v>
      </c>
      <c r="K87" s="40">
        <f>K63</f>
        <v>6827.1701998500002</v>
      </c>
      <c r="L87" s="40">
        <f>L63</f>
        <v>7102.305158903956</v>
      </c>
      <c r="M87" s="40">
        <f t="shared" si="30"/>
        <v>7388.5280568077869</v>
      </c>
      <c r="N87" s="40">
        <f t="shared" si="30"/>
        <v>7611.1074645191193</v>
      </c>
      <c r="O87" s="40">
        <f t="shared" si="30"/>
        <v>7840.392076887757</v>
      </c>
    </row>
    <row r="88" spans="2:15" hidden="1" outlineLevel="1" x14ac:dyDescent="0.25">
      <c r="C88" s="47" t="s">
        <v>24</v>
      </c>
      <c r="H88" s="40">
        <f>H84*$H$50</f>
        <v>21743.999999999996</v>
      </c>
      <c r="I88" s="40">
        <f t="shared" ref="I88:O88" si="31">I84*$H$50</f>
        <v>22221</v>
      </c>
      <c r="J88" s="40">
        <f t="shared" si="31"/>
        <v>22733</v>
      </c>
      <c r="K88" s="40">
        <f t="shared" si="31"/>
        <v>23528.654999999995</v>
      </c>
      <c r="L88" s="40">
        <f t="shared" si="31"/>
        <v>24234.514650000001</v>
      </c>
      <c r="M88" s="40">
        <f t="shared" si="31"/>
        <v>24961.5500895</v>
      </c>
      <c r="N88" s="40">
        <f t="shared" si="31"/>
        <v>25585.588841737499</v>
      </c>
      <c r="O88" s="40">
        <f t="shared" si="31"/>
        <v>26225.228562780936</v>
      </c>
    </row>
    <row r="89" spans="2:15" ht="14.4" hidden="1" outlineLevel="1" thickBot="1" x14ac:dyDescent="0.3">
      <c r="C89" s="47" t="s">
        <v>29</v>
      </c>
      <c r="H89" s="49">
        <f>SUM(H87:H88)</f>
        <v>27696.923699999996</v>
      </c>
      <c r="I89" s="49">
        <f t="shared" ref="I89:O89" si="32">SUM(I87:I88)</f>
        <v>28428.971099999999</v>
      </c>
      <c r="J89" s="49">
        <f t="shared" si="32"/>
        <v>29199.960500000001</v>
      </c>
      <c r="K89" s="49">
        <f t="shared" si="32"/>
        <v>30355.825199849995</v>
      </c>
      <c r="L89" s="49">
        <f>SUM(L87:L88)</f>
        <v>31336.819808903958</v>
      </c>
      <c r="M89" s="49">
        <f t="shared" si="32"/>
        <v>32350.078146307787</v>
      </c>
      <c r="N89" s="49">
        <f t="shared" si="32"/>
        <v>33196.696306256621</v>
      </c>
      <c r="O89" s="49">
        <f t="shared" si="32"/>
        <v>34065.62063966869</v>
      </c>
    </row>
    <row r="90" spans="2:15" hidden="1" outlineLevel="1" x14ac:dyDescent="0.25"/>
    <row r="91" spans="2:15" hidden="1" outlineLevel="1" x14ac:dyDescent="0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</row>
    <row r="92" spans="2:15" collapsed="1" x14ac:dyDescent="0.25"/>
    <row r="93" spans="2:15" ht="20.399999999999999" x14ac:dyDescent="0.35">
      <c r="B93" s="129" t="s">
        <v>30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2:15" hidden="1" outlineLevel="1" x14ac:dyDescent="0.25"/>
    <row r="95" spans="2:15" ht="14.4" hidden="1" outlineLevel="1" thickBot="1" x14ac:dyDescent="0.3">
      <c r="B95" s="4" t="s">
        <v>1</v>
      </c>
      <c r="H95" s="5">
        <v>2027</v>
      </c>
      <c r="I95" s="5">
        <v>2020</v>
      </c>
      <c r="J95" s="5">
        <v>2021</v>
      </c>
      <c r="K95" s="6">
        <v>2022</v>
      </c>
      <c r="L95" s="6">
        <v>2023</v>
      </c>
      <c r="M95" s="6">
        <v>2024</v>
      </c>
      <c r="N95" s="6">
        <v>2025</v>
      </c>
      <c r="O95" s="6">
        <v>2026</v>
      </c>
    </row>
    <row r="96" spans="2:15" hidden="1" outlineLevel="1" x14ac:dyDescent="0.25"/>
    <row r="97" spans="3:15" hidden="1" outlineLevel="1" x14ac:dyDescent="0.25">
      <c r="C97" s="3" t="s">
        <v>14</v>
      </c>
      <c r="H97" s="40">
        <f>H38</f>
        <v>51585.318599999999</v>
      </c>
      <c r="I97" s="40">
        <f t="shared" ref="I97:O97" si="33">I38</f>
        <v>53493.892650000002</v>
      </c>
      <c r="J97" s="40">
        <f t="shared" si="33"/>
        <v>55749.479500000001</v>
      </c>
      <c r="K97" s="40">
        <f t="shared" si="33"/>
        <v>58570.403162700008</v>
      </c>
      <c r="L97" s="40">
        <f t="shared" si="33"/>
        <v>59747.668266270273</v>
      </c>
      <c r="M97" s="40">
        <f t="shared" si="33"/>
        <v>60948.59639842232</v>
      </c>
      <c r="N97" s="40">
        <f t="shared" si="33"/>
        <v>61865.872774218558</v>
      </c>
      <c r="O97" s="40">
        <f t="shared" si="33"/>
        <v>62486.078148780085</v>
      </c>
    </row>
    <row r="98" spans="3:15" hidden="1" outlineLevel="1" x14ac:dyDescent="0.25">
      <c r="C98" s="3" t="s">
        <v>31</v>
      </c>
      <c r="H98" s="41">
        <f>H89*-1</f>
        <v>-27696.923699999996</v>
      </c>
      <c r="I98" s="41">
        <f t="shared" ref="I98:O98" si="34">I89*-1</f>
        <v>-28428.971099999999</v>
      </c>
      <c r="J98" s="41">
        <f t="shared" si="34"/>
        <v>-29199.960500000001</v>
      </c>
      <c r="K98" s="41">
        <f>K89*-1</f>
        <v>-30355.825199849995</v>
      </c>
      <c r="L98" s="41">
        <f>L89*-1</f>
        <v>-31336.819808903958</v>
      </c>
      <c r="M98" s="41">
        <f t="shared" si="34"/>
        <v>-32350.078146307787</v>
      </c>
      <c r="N98" s="41">
        <f t="shared" si="34"/>
        <v>-33196.696306256621</v>
      </c>
      <c r="O98" s="41">
        <f t="shared" si="34"/>
        <v>-34065.62063966869</v>
      </c>
    </row>
    <row r="99" spans="3:15" hidden="1" outlineLevel="1" x14ac:dyDescent="0.25">
      <c r="C99" s="10" t="s">
        <v>32</v>
      </c>
      <c r="D99" s="10"/>
      <c r="E99" s="10"/>
      <c r="F99" s="10"/>
      <c r="G99" s="10"/>
      <c r="H99" s="50">
        <f>SUM(H97:H98)</f>
        <v>23888.394900000003</v>
      </c>
      <c r="I99" s="50">
        <f t="shared" ref="I99:O99" si="35">SUM(I97:I98)</f>
        <v>25064.921550000003</v>
      </c>
      <c r="J99" s="50">
        <f t="shared" si="35"/>
        <v>26549.519</v>
      </c>
      <c r="K99" s="50">
        <f>SUM(K97:K98)</f>
        <v>28214.577962850013</v>
      </c>
      <c r="L99" s="50">
        <f t="shared" si="35"/>
        <v>28410.848457366315</v>
      </c>
      <c r="M99" s="50">
        <f t="shared" si="35"/>
        <v>28598.518252114533</v>
      </c>
      <c r="N99" s="50">
        <f t="shared" si="35"/>
        <v>28669.176467961937</v>
      </c>
      <c r="O99" s="50">
        <f t="shared" si="35"/>
        <v>28420.457509111395</v>
      </c>
    </row>
    <row r="100" spans="3:15" hidden="1" outlineLevel="1" x14ac:dyDescent="0.25"/>
    <row r="101" spans="3:15" hidden="1" outlineLevel="1" x14ac:dyDescent="0.25">
      <c r="C101" s="3" t="s">
        <v>33</v>
      </c>
      <c r="H101" s="51">
        <v>-5877</v>
      </c>
      <c r="I101" s="51">
        <v>-6006</v>
      </c>
      <c r="J101" s="51">
        <v>-6144</v>
      </c>
      <c r="K101" s="20">
        <f>J101*(1+K51)</f>
        <v>-6359.0399999999991</v>
      </c>
      <c r="L101" s="20">
        <f t="shared" ref="L101:O101" si="36">K101*(1+L51)</f>
        <v>-6549.8111999999992</v>
      </c>
      <c r="M101" s="20">
        <f t="shared" si="36"/>
        <v>-6746.3055359999989</v>
      </c>
      <c r="N101" s="20">
        <f t="shared" si="36"/>
        <v>-6914.963174399998</v>
      </c>
      <c r="O101" s="20">
        <f t="shared" si="36"/>
        <v>-7087.8372537599971</v>
      </c>
    </row>
    <row r="102" spans="3:15" hidden="1" outlineLevel="1" x14ac:dyDescent="0.25">
      <c r="C102" s="3" t="s">
        <v>34</v>
      </c>
      <c r="H102" s="52">
        <v>-1764</v>
      </c>
      <c r="I102" s="52">
        <v>-1931</v>
      </c>
      <c r="J102" s="52">
        <v>-2026</v>
      </c>
      <c r="K102" s="46">
        <f>J102*(1+K51)</f>
        <v>-2096.91</v>
      </c>
      <c r="L102" s="46">
        <f t="shared" ref="L102:O102" si="37">K102*(1+L51)</f>
        <v>-2159.8172999999997</v>
      </c>
      <c r="M102" s="46">
        <f t="shared" si="37"/>
        <v>-2224.6118189999997</v>
      </c>
      <c r="N102" s="46">
        <f t="shared" si="37"/>
        <v>-2280.2271144749993</v>
      </c>
      <c r="O102" s="46">
        <f t="shared" si="37"/>
        <v>-2337.2327923368739</v>
      </c>
    </row>
    <row r="103" spans="3:15" hidden="1" outlineLevel="1" x14ac:dyDescent="0.25">
      <c r="C103" s="10" t="s">
        <v>35</v>
      </c>
      <c r="H103" s="40">
        <f>SUM(H99:H102)</f>
        <v>16247.394900000003</v>
      </c>
      <c r="I103" s="40">
        <f t="shared" ref="I103:O103" si="38">SUM(I99:I102)</f>
        <v>17127.921550000003</v>
      </c>
      <c r="J103" s="40">
        <f t="shared" si="38"/>
        <v>18379.519</v>
      </c>
      <c r="K103" s="40">
        <f>SUM(K99:K102)</f>
        <v>19758.627962850016</v>
      </c>
      <c r="L103" s="40">
        <f t="shared" si="38"/>
        <v>19701.219957366317</v>
      </c>
      <c r="M103" s="40">
        <f t="shared" si="38"/>
        <v>19627.600897114535</v>
      </c>
      <c r="N103" s="40">
        <f t="shared" si="38"/>
        <v>19473.98617908694</v>
      </c>
      <c r="O103" s="40">
        <f t="shared" si="38"/>
        <v>18995.387463014522</v>
      </c>
    </row>
    <row r="104" spans="3:15" hidden="1" outlineLevel="1" x14ac:dyDescent="0.25"/>
    <row r="105" spans="3:15" hidden="1" outlineLevel="1" x14ac:dyDescent="0.25">
      <c r="C105" s="3" t="s">
        <v>36</v>
      </c>
      <c r="H105" s="53">
        <v>-2960</v>
      </c>
      <c r="I105" s="53">
        <v>-3196</v>
      </c>
      <c r="J105" s="53">
        <v>-3452</v>
      </c>
      <c r="K105" s="41">
        <f>K184*-1</f>
        <v>-4177.125</v>
      </c>
      <c r="L105" s="41">
        <f t="shared" ref="L105:O105" si="39">L184*-1</f>
        <v>-4408.375</v>
      </c>
      <c r="M105" s="41">
        <f t="shared" si="39"/>
        <v>-4647.125</v>
      </c>
      <c r="N105" s="41">
        <f t="shared" si="39"/>
        <v>-4893.375</v>
      </c>
      <c r="O105" s="41">
        <f t="shared" si="39"/>
        <v>-5146.5</v>
      </c>
    </row>
    <row r="106" spans="3:15" hidden="1" outlineLevel="1" x14ac:dyDescent="0.25">
      <c r="C106" s="10" t="s">
        <v>56</v>
      </c>
      <c r="H106" s="40">
        <f>SUM(H103:H105)</f>
        <v>13287.394900000003</v>
      </c>
      <c r="I106" s="40">
        <f t="shared" ref="I106:O106" si="40">SUM(I103:I105)</f>
        <v>13931.921550000003</v>
      </c>
      <c r="J106" s="40">
        <f t="shared" si="40"/>
        <v>14927.519</v>
      </c>
      <c r="K106" s="40">
        <f t="shared" si="40"/>
        <v>15581.502962850016</v>
      </c>
      <c r="L106" s="40">
        <f t="shared" si="40"/>
        <v>15292.844957366317</v>
      </c>
      <c r="M106" s="40">
        <f t="shared" si="40"/>
        <v>14980.475897114535</v>
      </c>
      <c r="N106" s="40">
        <f t="shared" si="40"/>
        <v>14580.61117908694</v>
      </c>
      <c r="O106" s="40">
        <f t="shared" si="40"/>
        <v>13848.887463014522</v>
      </c>
    </row>
    <row r="107" spans="3:15" hidden="1" outlineLevel="1" x14ac:dyDescent="0.25"/>
    <row r="108" spans="3:15" hidden="1" outlineLevel="1" x14ac:dyDescent="0.25">
      <c r="C108" s="3" t="s">
        <v>57</v>
      </c>
      <c r="H108" s="54">
        <v>-1488</v>
      </c>
      <c r="I108" s="54">
        <v>-2580</v>
      </c>
      <c r="J108" s="54">
        <v>-2448</v>
      </c>
      <c r="K108" s="54">
        <v>-2520</v>
      </c>
      <c r="L108" s="54">
        <v>-2520</v>
      </c>
      <c r="M108" s="54">
        <v>-2520</v>
      </c>
      <c r="N108" s="54">
        <v>-2520</v>
      </c>
      <c r="O108" s="54">
        <v>-2520</v>
      </c>
    </row>
    <row r="109" spans="3:15" hidden="1" outlineLevel="1" x14ac:dyDescent="0.25">
      <c r="C109" s="10" t="s">
        <v>58</v>
      </c>
      <c r="H109" s="40">
        <f>SUM(H106:H108)</f>
        <v>11799.394900000003</v>
      </c>
      <c r="I109" s="40">
        <f t="shared" ref="I109:O109" si="41">SUM(I106:I108)</f>
        <v>11351.921550000003</v>
      </c>
      <c r="J109" s="40">
        <f t="shared" si="41"/>
        <v>12479.519</v>
      </c>
      <c r="K109" s="40">
        <f t="shared" si="41"/>
        <v>13061.502962850016</v>
      </c>
      <c r="L109" s="40">
        <f t="shared" si="41"/>
        <v>12772.844957366317</v>
      </c>
      <c r="M109" s="40">
        <f t="shared" si="41"/>
        <v>12460.475897114535</v>
      </c>
      <c r="N109" s="40">
        <f t="shared" si="41"/>
        <v>12060.61117908694</v>
      </c>
      <c r="O109" s="40">
        <f t="shared" si="41"/>
        <v>11328.887463014522</v>
      </c>
    </row>
    <row r="110" spans="3:15" hidden="1" outlineLevel="1" x14ac:dyDescent="0.25"/>
    <row r="111" spans="3:15" ht="15" hidden="1" outlineLevel="1" x14ac:dyDescent="0.35">
      <c r="C111" s="3" t="s">
        <v>83</v>
      </c>
      <c r="H111" s="122">
        <v>0</v>
      </c>
      <c r="I111" s="122">
        <v>0</v>
      </c>
      <c r="J111" s="122">
        <v>0</v>
      </c>
      <c r="K111" s="40">
        <f>K250</f>
        <v>0</v>
      </c>
      <c r="L111" s="40">
        <f t="shared" ref="L111:O111" si="42">L250</f>
        <v>0</v>
      </c>
      <c r="M111" s="40">
        <f t="shared" si="42"/>
        <v>2347.8377668327171</v>
      </c>
      <c r="N111" s="40">
        <f t="shared" si="42"/>
        <v>2820.8877103967352</v>
      </c>
      <c r="O111" s="40">
        <f t="shared" si="42"/>
        <v>2724.0356065348806</v>
      </c>
    </row>
    <row r="112" spans="3:15" ht="15" hidden="1" outlineLevel="1" x14ac:dyDescent="0.35">
      <c r="C112" s="3" t="s">
        <v>84</v>
      </c>
      <c r="H112" s="123">
        <v>3155</v>
      </c>
      <c r="I112" s="123">
        <v>2861</v>
      </c>
      <c r="J112" s="123">
        <v>3012</v>
      </c>
      <c r="K112" s="41">
        <f>K251</f>
        <v>3265.375740712504</v>
      </c>
      <c r="L112" s="41">
        <f t="shared" ref="L112:O112" si="43">L251</f>
        <v>3193.2112393415791</v>
      </c>
      <c r="M112" s="41">
        <f t="shared" si="43"/>
        <v>767.28120744591661</v>
      </c>
      <c r="N112" s="41">
        <f t="shared" si="43"/>
        <v>194.26508437499979</v>
      </c>
      <c r="O112" s="41">
        <f t="shared" si="43"/>
        <v>108.18625921874991</v>
      </c>
    </row>
    <row r="113" spans="2:15" hidden="1" outlineLevel="1" x14ac:dyDescent="0.25">
      <c r="C113" s="3" t="s">
        <v>85</v>
      </c>
      <c r="H113" s="26">
        <f>SUM(H111:H112)*-1</f>
        <v>-3155</v>
      </c>
      <c r="I113" s="26">
        <f t="shared" ref="I113:O113" si="44">SUM(I111:I112)*-1</f>
        <v>-2861</v>
      </c>
      <c r="J113" s="26">
        <f t="shared" si="44"/>
        <v>-3012</v>
      </c>
      <c r="K113" s="26">
        <f t="shared" si="44"/>
        <v>-3265.375740712504</v>
      </c>
      <c r="L113" s="26">
        <f t="shared" si="44"/>
        <v>-3193.2112393415791</v>
      </c>
      <c r="M113" s="26">
        <f t="shared" si="44"/>
        <v>-3115.1189742786337</v>
      </c>
      <c r="N113" s="26">
        <f t="shared" si="44"/>
        <v>-3015.152794771735</v>
      </c>
      <c r="O113" s="26">
        <f t="shared" si="44"/>
        <v>-2832.2218657536305</v>
      </c>
    </row>
    <row r="114" spans="2:15" hidden="1" outlineLevel="1" x14ac:dyDescent="0.25"/>
    <row r="115" spans="2:15" hidden="1" outlineLevel="1" x14ac:dyDescent="0.25">
      <c r="C115" s="3" t="s">
        <v>86</v>
      </c>
      <c r="H115" s="40">
        <f>H109+H113</f>
        <v>8644.394900000003</v>
      </c>
      <c r="I115" s="40">
        <f t="shared" ref="I115:O115" si="45">I109+I113</f>
        <v>8490.9215500000028</v>
      </c>
      <c r="J115" s="40">
        <f t="shared" si="45"/>
        <v>9467.5190000000002</v>
      </c>
      <c r="K115" s="40">
        <f t="shared" si="45"/>
        <v>9796.1272221375111</v>
      </c>
      <c r="L115" s="40">
        <f t="shared" si="45"/>
        <v>9579.6337180247374</v>
      </c>
      <c r="M115" s="40">
        <f t="shared" si="45"/>
        <v>9345.3569228359011</v>
      </c>
      <c r="N115" s="40">
        <f t="shared" si="45"/>
        <v>9045.458384315205</v>
      </c>
      <c r="O115" s="40">
        <f t="shared" si="45"/>
        <v>8496.6655972608914</v>
      </c>
    </row>
    <row r="116" spans="2:15" hidden="1" outlineLevel="1" x14ac:dyDescent="0.25"/>
    <row r="117" spans="2:15" hidden="1" outlineLevel="1" x14ac:dyDescent="0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2:15" collapsed="1" x14ac:dyDescent="0.25"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</row>
    <row r="119" spans="2:15" ht="17.399999999999999" x14ac:dyDescent="0.3">
      <c r="B119" s="1" t="s">
        <v>87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2:15" hidden="1" outlineLevel="1" x14ac:dyDescent="0.25"/>
    <row r="121" spans="2:15" ht="14.4" hidden="1" outlineLevel="1" thickBot="1" x14ac:dyDescent="0.3">
      <c r="B121" s="55" t="s">
        <v>1</v>
      </c>
      <c r="H121" s="5">
        <v>2027</v>
      </c>
      <c r="I121" s="5">
        <v>2020</v>
      </c>
      <c r="J121" s="5">
        <v>2021</v>
      </c>
      <c r="K121" s="6">
        <v>2022</v>
      </c>
      <c r="L121" s="6">
        <v>2023</v>
      </c>
      <c r="M121" s="6">
        <v>2024</v>
      </c>
      <c r="N121" s="6">
        <v>2025</v>
      </c>
      <c r="O121" s="6">
        <v>2026</v>
      </c>
    </row>
    <row r="122" spans="2:15" hidden="1" outlineLevel="1" x14ac:dyDescent="0.25"/>
    <row r="123" spans="2:15" hidden="1" outlineLevel="1" x14ac:dyDescent="0.25">
      <c r="B123" s="3" t="s">
        <v>88</v>
      </c>
      <c r="H123" s="124">
        <v>365</v>
      </c>
      <c r="I123" s="124">
        <v>365</v>
      </c>
      <c r="J123" s="124">
        <v>365</v>
      </c>
      <c r="K123" s="124">
        <v>365</v>
      </c>
      <c r="L123" s="124">
        <v>365</v>
      </c>
      <c r="M123" s="124">
        <v>365</v>
      </c>
      <c r="N123" s="124">
        <v>365</v>
      </c>
      <c r="O123" s="124">
        <v>365</v>
      </c>
    </row>
    <row r="124" spans="2:15" hidden="1" outlineLevel="1" x14ac:dyDescent="0.25">
      <c r="B124" s="3" t="s">
        <v>14</v>
      </c>
      <c r="H124" s="40">
        <f>H97</f>
        <v>51585.318599999999</v>
      </c>
      <c r="I124" s="40">
        <f>I97</f>
        <v>53493.892650000002</v>
      </c>
      <c r="J124" s="40">
        <f>J97</f>
        <v>55749.479500000001</v>
      </c>
      <c r="K124" s="40">
        <f>K97</f>
        <v>58570.403162700008</v>
      </c>
      <c r="L124" s="40">
        <f>L97</f>
        <v>59747.668266270273</v>
      </c>
      <c r="M124" s="40">
        <f>M97</f>
        <v>60948.59639842232</v>
      </c>
      <c r="N124" s="40">
        <f>N97</f>
        <v>61865.872774218558</v>
      </c>
      <c r="O124" s="40">
        <f>O97</f>
        <v>62486.078148780085</v>
      </c>
    </row>
    <row r="125" spans="2:15" hidden="1" outlineLevel="1" x14ac:dyDescent="0.25">
      <c r="B125" s="3" t="s">
        <v>31</v>
      </c>
      <c r="H125" s="40">
        <f>H98*-1</f>
        <v>27696.923699999996</v>
      </c>
      <c r="I125" s="40">
        <f>I98*-1</f>
        <v>28428.971099999999</v>
      </c>
      <c r="J125" s="40">
        <f>J98*-1</f>
        <v>29199.960500000001</v>
      </c>
      <c r="K125" s="40">
        <f>K98*-1</f>
        <v>30355.825199849995</v>
      </c>
      <c r="L125" s="40">
        <f>L98*-1</f>
        <v>31336.819808903958</v>
      </c>
      <c r="M125" s="40">
        <f>M98*-1</f>
        <v>32350.078146307787</v>
      </c>
      <c r="N125" s="40">
        <f>N98*-1</f>
        <v>33196.696306256621</v>
      </c>
      <c r="O125" s="40">
        <f>O98*-1</f>
        <v>34065.62063966869</v>
      </c>
    </row>
    <row r="126" spans="2:15" hidden="1" outlineLevel="1" x14ac:dyDescent="0.25"/>
    <row r="127" spans="2:15" hidden="1" outlineLevel="1" x14ac:dyDescent="0.25">
      <c r="B127" s="10" t="s">
        <v>89</v>
      </c>
    </row>
    <row r="128" spans="2:15" ht="15" hidden="1" outlineLevel="1" x14ac:dyDescent="0.35">
      <c r="C128" s="3" t="s">
        <v>90</v>
      </c>
      <c r="F128" s="3" t="s">
        <v>94</v>
      </c>
      <c r="H128" s="40">
        <f>H133/H$124*$H$123</f>
        <v>40.3878478711189</v>
      </c>
      <c r="I128" s="40">
        <f t="shared" ref="I128:J128" si="46">I133/I$124*$H$123</f>
        <v>43.211381439821238</v>
      </c>
      <c r="J128" s="40">
        <f t="shared" si="46"/>
        <v>43.36829727710731</v>
      </c>
      <c r="K128" s="125">
        <v>45</v>
      </c>
      <c r="L128" s="125">
        <v>45</v>
      </c>
      <c r="M128" s="125">
        <v>45</v>
      </c>
      <c r="N128" s="125">
        <v>45</v>
      </c>
      <c r="O128" s="125">
        <v>45</v>
      </c>
    </row>
    <row r="129" spans="2:15" ht="15" hidden="1" outlineLevel="1" x14ac:dyDescent="0.35">
      <c r="C129" s="3" t="s">
        <v>91</v>
      </c>
      <c r="H129" s="40">
        <f>H134/H125*H123</f>
        <v>23.615619087689517</v>
      </c>
      <c r="I129" s="40">
        <f t="shared" ref="I129:J129" si="47">I134/I125*I123</f>
        <v>24.689426765782603</v>
      </c>
      <c r="J129" s="40">
        <f t="shared" si="47"/>
        <v>25.112533970722321</v>
      </c>
      <c r="K129" s="125">
        <v>25</v>
      </c>
      <c r="L129" s="125">
        <v>25</v>
      </c>
      <c r="M129" s="125">
        <v>25</v>
      </c>
      <c r="N129" s="125">
        <v>25</v>
      </c>
      <c r="O129" s="125">
        <v>25</v>
      </c>
    </row>
    <row r="130" spans="2:15" ht="15" hidden="1" outlineLevel="1" x14ac:dyDescent="0.35">
      <c r="C130" s="3" t="s">
        <v>92</v>
      </c>
      <c r="H130" s="40">
        <f>H135/H125*H123</f>
        <v>39.851357210476053</v>
      </c>
      <c r="I130" s="40">
        <f t="shared" ref="I130:J130" si="48">I135/I125*I123</f>
        <v>41.149044609637663</v>
      </c>
      <c r="J130" s="40">
        <f t="shared" si="48"/>
        <v>41.487556121865303</v>
      </c>
      <c r="K130" s="125">
        <v>40</v>
      </c>
      <c r="L130" s="125">
        <v>40</v>
      </c>
      <c r="M130" s="125">
        <v>40</v>
      </c>
      <c r="N130" s="125">
        <v>40</v>
      </c>
      <c r="O130" s="125">
        <v>40</v>
      </c>
    </row>
    <row r="131" spans="2:15" hidden="1" outlineLevel="1" x14ac:dyDescent="0.25"/>
    <row r="132" spans="2:15" hidden="1" outlineLevel="1" x14ac:dyDescent="0.25">
      <c r="B132" s="10" t="s">
        <v>93</v>
      </c>
    </row>
    <row r="133" spans="2:15" ht="15" hidden="1" outlineLevel="1" x14ac:dyDescent="0.35">
      <c r="C133" s="3" t="s">
        <v>90</v>
      </c>
      <c r="H133" s="125">
        <v>5708</v>
      </c>
      <c r="I133" s="125">
        <v>6333</v>
      </c>
      <c r="J133" s="125">
        <v>6624</v>
      </c>
      <c r="K133" s="40">
        <f>K124*K128/K123</f>
        <v>7221.0086091000012</v>
      </c>
      <c r="L133" s="40">
        <f t="shared" ref="L133:O133" si="49">L124*L128/L123</f>
        <v>7366.1508821429097</v>
      </c>
      <c r="M133" s="40">
        <f t="shared" si="49"/>
        <v>7514.2105148739847</v>
      </c>
      <c r="N133" s="40">
        <f t="shared" si="49"/>
        <v>7627.2993831228359</v>
      </c>
      <c r="O133" s="40">
        <f t="shared" si="49"/>
        <v>7703.7630594386401</v>
      </c>
    </row>
    <row r="134" spans="2:15" ht="15" hidden="1" outlineLevel="1" x14ac:dyDescent="0.35">
      <c r="C134" s="3" t="s">
        <v>91</v>
      </c>
      <c r="H134" s="125">
        <v>1792</v>
      </c>
      <c r="I134" s="125">
        <v>1923</v>
      </c>
      <c r="J134" s="125">
        <v>2009</v>
      </c>
      <c r="K134" s="40">
        <f>K125*K129/K123</f>
        <v>2079.1661095787667</v>
      </c>
      <c r="L134" s="40">
        <f t="shared" ref="L134:O134" si="50">L125*L129/L123</f>
        <v>2146.3575211578054</v>
      </c>
      <c r="M134" s="40">
        <f t="shared" si="50"/>
        <v>2215.7587771443687</v>
      </c>
      <c r="N134" s="40">
        <f t="shared" si="50"/>
        <v>2273.7463223463437</v>
      </c>
      <c r="O134" s="40">
        <f t="shared" si="50"/>
        <v>2333.2616876485404</v>
      </c>
    </row>
    <row r="135" spans="2:15" ht="15" hidden="1" outlineLevel="1" x14ac:dyDescent="0.35">
      <c r="C135" s="3" t="s">
        <v>92</v>
      </c>
      <c r="H135" s="125">
        <v>3024</v>
      </c>
      <c r="I135" s="125">
        <v>3205</v>
      </c>
      <c r="J135" s="125">
        <v>3319</v>
      </c>
      <c r="K135" s="40">
        <f>K125*K130/K123</f>
        <v>3326.665775326027</v>
      </c>
      <c r="L135" s="40">
        <f t="shared" ref="L135:O135" si="51">L125*L130/L123</f>
        <v>3434.1720338524888</v>
      </c>
      <c r="M135" s="40">
        <f t="shared" si="51"/>
        <v>3545.2140434309904</v>
      </c>
      <c r="N135" s="40">
        <f t="shared" si="51"/>
        <v>3637.9941157541507</v>
      </c>
      <c r="O135" s="40">
        <f t="shared" si="51"/>
        <v>3733.2187002376645</v>
      </c>
    </row>
    <row r="136" spans="2:15" hidden="1" outlineLevel="1" x14ac:dyDescent="0.25"/>
    <row r="137" spans="2:15" hidden="1" outlineLevel="1" x14ac:dyDescent="0.25">
      <c r="B137" s="10" t="s">
        <v>95</v>
      </c>
    </row>
    <row r="138" spans="2:15" hidden="1" outlineLevel="1" x14ac:dyDescent="0.25">
      <c r="C138" s="3" t="s">
        <v>96</v>
      </c>
      <c r="H138" s="126">
        <f>SUM(H133:H134)</f>
        <v>7500</v>
      </c>
      <c r="I138" s="126">
        <f t="shared" ref="I138:O138" si="52">SUM(I133:I134)</f>
        <v>8256</v>
      </c>
      <c r="J138" s="126">
        <f t="shared" si="52"/>
        <v>8633</v>
      </c>
      <c r="K138" s="126">
        <f t="shared" si="52"/>
        <v>9300.1747186787688</v>
      </c>
      <c r="L138" s="126">
        <f t="shared" si="52"/>
        <v>9512.5084033007151</v>
      </c>
      <c r="M138" s="126">
        <f t="shared" si="52"/>
        <v>9729.9692920183534</v>
      </c>
      <c r="N138" s="126">
        <f t="shared" si="52"/>
        <v>9901.0457054691797</v>
      </c>
      <c r="O138" s="126">
        <f t="shared" si="52"/>
        <v>10037.02474708718</v>
      </c>
    </row>
    <row r="139" spans="2:15" hidden="1" outlineLevel="1" x14ac:dyDescent="0.25">
      <c r="C139" s="3" t="s">
        <v>97</v>
      </c>
      <c r="H139" s="127">
        <f>H135</f>
        <v>3024</v>
      </c>
      <c r="I139" s="127">
        <f t="shared" ref="I139:O139" si="53">I135</f>
        <v>3205</v>
      </c>
      <c r="J139" s="127">
        <f t="shared" si="53"/>
        <v>3319</v>
      </c>
      <c r="K139" s="127">
        <f t="shared" si="53"/>
        <v>3326.665775326027</v>
      </c>
      <c r="L139" s="127">
        <f t="shared" si="53"/>
        <v>3434.1720338524888</v>
      </c>
      <c r="M139" s="127">
        <f t="shared" si="53"/>
        <v>3545.2140434309904</v>
      </c>
      <c r="N139" s="127">
        <f t="shared" si="53"/>
        <v>3637.9941157541507</v>
      </c>
      <c r="O139" s="127">
        <f t="shared" si="53"/>
        <v>3733.2187002376645</v>
      </c>
    </row>
    <row r="140" spans="2:15" hidden="1" outlineLevel="1" x14ac:dyDescent="0.25">
      <c r="C140" s="3" t="s">
        <v>95</v>
      </c>
      <c r="H140" s="126">
        <f>H138-H139</f>
        <v>4476</v>
      </c>
      <c r="I140" s="126">
        <f t="shared" ref="I140:O140" si="54">I138-I139</f>
        <v>5051</v>
      </c>
      <c r="J140" s="126">
        <f t="shared" si="54"/>
        <v>5314</v>
      </c>
      <c r="K140" s="126">
        <f t="shared" si="54"/>
        <v>5973.5089433527419</v>
      </c>
      <c r="L140" s="126">
        <f t="shared" si="54"/>
        <v>6078.3363694482268</v>
      </c>
      <c r="M140" s="126">
        <f t="shared" si="54"/>
        <v>6184.755248587363</v>
      </c>
      <c r="N140" s="126">
        <f t="shared" si="54"/>
        <v>6263.051589715029</v>
      </c>
      <c r="O140" s="126">
        <f t="shared" si="54"/>
        <v>6303.806046849515</v>
      </c>
    </row>
    <row r="141" spans="2:15" hidden="1" outlineLevel="1" x14ac:dyDescent="0.25"/>
    <row r="142" spans="2:15" hidden="1" outlineLevel="1" x14ac:dyDescent="0.25">
      <c r="B142" s="3" t="s">
        <v>98</v>
      </c>
      <c r="I142" s="126">
        <f>H140-I140</f>
        <v>-575</v>
      </c>
      <c r="J142" s="126">
        <f t="shared" ref="J142:O142" si="55">I140-J140</f>
        <v>-263</v>
      </c>
      <c r="K142" s="126">
        <f t="shared" si="55"/>
        <v>-659.50894335274188</v>
      </c>
      <c r="L142" s="126">
        <f t="shared" si="55"/>
        <v>-104.82742609548495</v>
      </c>
      <c r="M142" s="126">
        <f t="shared" si="55"/>
        <v>-106.41887913913615</v>
      </c>
      <c r="N142" s="126">
        <f t="shared" si="55"/>
        <v>-78.296341127665983</v>
      </c>
      <c r="O142" s="126">
        <f t="shared" si="55"/>
        <v>-40.754457134486074</v>
      </c>
    </row>
    <row r="143" spans="2:15" hidden="1" outlineLevel="1" x14ac:dyDescent="0.25">
      <c r="I143" s="126"/>
      <c r="J143" s="126"/>
      <c r="K143" s="126"/>
      <c r="L143" s="126"/>
      <c r="M143" s="126"/>
      <c r="N143" s="126"/>
      <c r="O143" s="126"/>
    </row>
    <row r="144" spans="2:15" hidden="1" outlineLevel="1" x14ac:dyDescent="0.25">
      <c r="C144" s="19"/>
      <c r="D144" s="19"/>
      <c r="E144" s="19"/>
      <c r="F144" s="19"/>
      <c r="G144" s="19"/>
      <c r="H144" s="19"/>
      <c r="I144" s="127"/>
      <c r="J144" s="127"/>
      <c r="K144" s="127"/>
      <c r="L144" s="127"/>
      <c r="M144" s="127"/>
      <c r="N144" s="127"/>
      <c r="O144" s="127"/>
    </row>
    <row r="145" spans="2:15" collapsed="1" x14ac:dyDescent="0.25"/>
    <row r="146" spans="2:15" ht="20.399999999999999" x14ac:dyDescent="0.35">
      <c r="B146" s="129" t="s">
        <v>37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2:15" hidden="1" outlineLevel="1" x14ac:dyDescent="0.25"/>
    <row r="148" spans="2:15" ht="14.4" hidden="1" outlineLevel="1" thickBot="1" x14ac:dyDescent="0.3">
      <c r="B148" s="55" t="s">
        <v>1</v>
      </c>
      <c r="H148" s="5">
        <v>2027</v>
      </c>
      <c r="I148" s="5">
        <v>2020</v>
      </c>
      <c r="J148" s="5">
        <v>2021</v>
      </c>
      <c r="K148" s="6">
        <v>2022</v>
      </c>
      <c r="L148" s="6">
        <v>2023</v>
      </c>
      <c r="M148" s="6">
        <v>2024</v>
      </c>
      <c r="N148" s="6">
        <v>2025</v>
      </c>
      <c r="O148" s="6">
        <v>2026</v>
      </c>
    </row>
    <row r="149" spans="2:15" hidden="1" outlineLevel="1" x14ac:dyDescent="0.25"/>
    <row r="150" spans="2:15" hidden="1" outlineLevel="1" x14ac:dyDescent="0.25"/>
    <row r="151" spans="2:15" hidden="1" outlineLevel="1" x14ac:dyDescent="0.25">
      <c r="B151" s="56" t="s">
        <v>38</v>
      </c>
      <c r="C151" s="57"/>
      <c r="D151" s="57"/>
      <c r="E151" s="57"/>
      <c r="F151" s="57"/>
      <c r="G151" s="57"/>
      <c r="H151" s="58">
        <v>4982</v>
      </c>
      <c r="I151" s="58">
        <v>5199</v>
      </c>
      <c r="J151" s="58">
        <v>4400</v>
      </c>
      <c r="K151" s="58">
        <v>4550</v>
      </c>
      <c r="L151" s="58">
        <v>4700</v>
      </c>
      <c r="M151" s="58">
        <v>4850</v>
      </c>
      <c r="N151" s="58">
        <v>5000</v>
      </c>
      <c r="O151" s="59">
        <v>5125</v>
      </c>
    </row>
    <row r="152" spans="2:15" hidden="1" outlineLevel="1" x14ac:dyDescent="0.25"/>
    <row r="153" spans="2:15" hidden="1" outlineLevel="1" x14ac:dyDescent="0.25">
      <c r="B153" s="10" t="s">
        <v>39</v>
      </c>
      <c r="F153" s="60" t="s">
        <v>40</v>
      </c>
      <c r="K153" s="128" t="s">
        <v>42</v>
      </c>
      <c r="L153" s="128"/>
      <c r="M153" s="128"/>
      <c r="N153" s="128"/>
      <c r="O153" s="128"/>
    </row>
    <row r="154" spans="2:15" hidden="1" outlineLevel="1" x14ac:dyDescent="0.25">
      <c r="B154" s="62" t="s">
        <v>41</v>
      </c>
      <c r="C154" s="63"/>
      <c r="D154" s="63"/>
      <c r="E154" s="63"/>
      <c r="F154" s="64">
        <v>16</v>
      </c>
      <c r="K154" s="65">
        <v>1</v>
      </c>
      <c r="L154" s="66">
        <v>2</v>
      </c>
      <c r="M154" s="66">
        <v>3</v>
      </c>
      <c r="N154" s="66">
        <v>4</v>
      </c>
      <c r="O154" s="67">
        <v>5</v>
      </c>
    </row>
    <row r="155" spans="2:15" hidden="1" outlineLevel="1" x14ac:dyDescent="0.25">
      <c r="B155" s="68" t="str">
        <f>CONCATENATE("PP&amp;E at End of ",J148)</f>
        <v>PP&amp;E at End of 2021</v>
      </c>
      <c r="C155" s="19"/>
      <c r="D155" s="19"/>
      <c r="E155" s="19"/>
      <c r="F155" s="69">
        <v>65014</v>
      </c>
      <c r="K155" s="70">
        <f>MIN($F154-SUM($J155:J155),1)</f>
        <v>1</v>
      </c>
      <c r="L155" s="70">
        <f>MIN($F154-SUM($J155:K155),1)</f>
        <v>1</v>
      </c>
      <c r="M155" s="70">
        <f>MIN($F154-SUM($J155:L155),1)</f>
        <v>1</v>
      </c>
      <c r="N155" s="70">
        <f>MIN($F154-SUM($J155:M155),1)</f>
        <v>1</v>
      </c>
      <c r="O155" s="70">
        <f>MIN($F154-SUM($J155:N155),1)</f>
        <v>1</v>
      </c>
    </row>
    <row r="156" spans="2:15" hidden="1" outlineLevel="1" x14ac:dyDescent="0.25"/>
    <row r="157" spans="2:15" hidden="1" outlineLevel="1" x14ac:dyDescent="0.25"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</row>
    <row r="158" spans="2:15" hidden="1" outlineLevel="1" x14ac:dyDescent="0.25"/>
    <row r="159" spans="2:15" hidden="1" outlineLevel="1" x14ac:dyDescent="0.25">
      <c r="B159" s="10" t="s">
        <v>43</v>
      </c>
      <c r="F159" s="60" t="s">
        <v>40</v>
      </c>
      <c r="K159" s="128" t="s">
        <v>42</v>
      </c>
      <c r="L159" s="128"/>
      <c r="M159" s="128"/>
      <c r="N159" s="128"/>
      <c r="O159" s="128"/>
    </row>
    <row r="160" spans="2:15" hidden="1" outlineLevel="1" x14ac:dyDescent="0.25">
      <c r="B160" s="62" t="s">
        <v>44</v>
      </c>
      <c r="C160" s="63"/>
      <c r="D160" s="63"/>
      <c r="E160" s="63"/>
      <c r="F160" s="64">
        <v>20</v>
      </c>
      <c r="K160" s="65">
        <v>1</v>
      </c>
      <c r="L160" s="66">
        <v>2</v>
      </c>
      <c r="M160" s="66">
        <v>3</v>
      </c>
      <c r="N160" s="66">
        <v>4</v>
      </c>
      <c r="O160" s="67">
        <v>5</v>
      </c>
    </row>
    <row r="161" spans="2:15" hidden="1" outlineLevel="1" x14ac:dyDescent="0.25">
      <c r="B161" s="68" t="s">
        <v>45</v>
      </c>
      <c r="C161" s="19"/>
      <c r="D161" s="19"/>
      <c r="E161" s="19"/>
      <c r="F161" s="71">
        <v>0.5</v>
      </c>
      <c r="K161" s="70">
        <f>IF(J161="",$F$161,MIN($F160-SUM($J161:J161),1))</f>
        <v>0.5</v>
      </c>
      <c r="L161" s="72">
        <f>IF(K161="",$F$161,MIN($F160-SUM($J161:K161),1))</f>
        <v>1</v>
      </c>
      <c r="M161" s="72">
        <f>IF(L161="",$F$161,MIN($F160-SUM($J161:L161),1))</f>
        <v>1</v>
      </c>
      <c r="N161" s="72">
        <f>IF(M161="",$F$161,MIN($F160-SUM($J161:M161),1))</f>
        <v>1</v>
      </c>
      <c r="O161" s="73">
        <f>IF(N161="",$F$161,MIN($F160-SUM($J161:N161),1))</f>
        <v>1</v>
      </c>
    </row>
    <row r="162" spans="2:15" hidden="1" outlineLevel="1" x14ac:dyDescent="0.25"/>
    <row r="163" spans="2:15" hidden="1" outlineLevel="1" x14ac:dyDescent="0.25">
      <c r="M163" s="3" t="s">
        <v>42</v>
      </c>
    </row>
    <row r="164" spans="2:15" hidden="1" outlineLevel="1" x14ac:dyDescent="0.25">
      <c r="H164" s="61" t="s">
        <v>46</v>
      </c>
      <c r="I164" s="61" t="s">
        <v>47</v>
      </c>
      <c r="K164" s="74">
        <f>K148</f>
        <v>2022</v>
      </c>
      <c r="L164" s="74">
        <f t="shared" ref="L164:O164" si="56">L148</f>
        <v>2023</v>
      </c>
      <c r="M164" s="74">
        <f t="shared" si="56"/>
        <v>2024</v>
      </c>
      <c r="N164" s="74">
        <f t="shared" si="56"/>
        <v>2025</v>
      </c>
      <c r="O164" s="74">
        <f t="shared" si="56"/>
        <v>2026</v>
      </c>
    </row>
    <row r="165" spans="2:15" hidden="1" outlineLevel="1" x14ac:dyDescent="0.25">
      <c r="H165" s="75">
        <f>K164</f>
        <v>2022</v>
      </c>
      <c r="I165" s="76">
        <f>$F$160</f>
        <v>20</v>
      </c>
      <c r="J165" s="63"/>
      <c r="K165" s="77">
        <f>K161</f>
        <v>0.5</v>
      </c>
      <c r="L165" s="78">
        <f>L161</f>
        <v>1</v>
      </c>
      <c r="M165" s="78">
        <f>M161</f>
        <v>1</v>
      </c>
      <c r="N165" s="78">
        <f>N161</f>
        <v>1</v>
      </c>
      <c r="O165" s="79">
        <f>O161</f>
        <v>1</v>
      </c>
    </row>
    <row r="166" spans="2:15" hidden="1" outlineLevel="1" x14ac:dyDescent="0.25">
      <c r="H166" s="80">
        <f>L164</f>
        <v>2023</v>
      </c>
      <c r="I166" s="61">
        <f t="shared" ref="I166:I169" si="57">$F$160</f>
        <v>20</v>
      </c>
      <c r="K166" s="81">
        <f t="shared" ref="K166:O169" si="58">J165</f>
        <v>0</v>
      </c>
      <c r="L166" s="82">
        <f t="shared" si="58"/>
        <v>0.5</v>
      </c>
      <c r="M166" s="82">
        <f t="shared" si="58"/>
        <v>1</v>
      </c>
      <c r="N166" s="82">
        <f t="shared" si="58"/>
        <v>1</v>
      </c>
      <c r="O166" s="83">
        <f t="shared" si="58"/>
        <v>1</v>
      </c>
    </row>
    <row r="167" spans="2:15" hidden="1" outlineLevel="1" x14ac:dyDescent="0.25">
      <c r="H167" s="80">
        <f>M164</f>
        <v>2024</v>
      </c>
      <c r="I167" s="61">
        <f t="shared" si="57"/>
        <v>20</v>
      </c>
      <c r="K167" s="81">
        <f t="shared" si="58"/>
        <v>0</v>
      </c>
      <c r="L167" s="3">
        <f t="shared" si="58"/>
        <v>0</v>
      </c>
      <c r="M167" s="82">
        <f t="shared" si="58"/>
        <v>0.5</v>
      </c>
      <c r="N167" s="82">
        <f t="shared" si="58"/>
        <v>1</v>
      </c>
      <c r="O167" s="83">
        <f t="shared" si="58"/>
        <v>1</v>
      </c>
    </row>
    <row r="168" spans="2:15" hidden="1" outlineLevel="1" x14ac:dyDescent="0.25">
      <c r="H168" s="80">
        <f>N164</f>
        <v>2025</v>
      </c>
      <c r="I168" s="61">
        <f t="shared" si="57"/>
        <v>20</v>
      </c>
      <c r="K168" s="81">
        <f t="shared" si="58"/>
        <v>0</v>
      </c>
      <c r="L168" s="3">
        <f t="shared" si="58"/>
        <v>0</v>
      </c>
      <c r="M168" s="3">
        <f t="shared" si="58"/>
        <v>0</v>
      </c>
      <c r="N168" s="82">
        <f t="shared" si="58"/>
        <v>0.5</v>
      </c>
      <c r="O168" s="83">
        <f t="shared" si="58"/>
        <v>1</v>
      </c>
    </row>
    <row r="169" spans="2:15" hidden="1" outlineLevel="1" x14ac:dyDescent="0.25">
      <c r="H169" s="84">
        <f>O164</f>
        <v>2026</v>
      </c>
      <c r="I169" s="85">
        <f t="shared" si="57"/>
        <v>20</v>
      </c>
      <c r="J169" s="19"/>
      <c r="K169" s="86">
        <f t="shared" si="58"/>
        <v>0</v>
      </c>
      <c r="L169" s="19">
        <f t="shared" si="58"/>
        <v>0</v>
      </c>
      <c r="M169" s="19">
        <f t="shared" si="58"/>
        <v>0</v>
      </c>
      <c r="N169" s="19">
        <f t="shared" si="58"/>
        <v>0</v>
      </c>
      <c r="O169" s="73">
        <f t="shared" si="58"/>
        <v>0.5</v>
      </c>
    </row>
    <row r="170" spans="2:15" hidden="1" outlineLevel="1" x14ac:dyDescent="0.25"/>
    <row r="171" spans="2:15" hidden="1" outlineLevel="1" x14ac:dyDescent="0.25"/>
    <row r="172" spans="2:15" hidden="1" outlineLevel="1" x14ac:dyDescent="0.25">
      <c r="H172" s="61" t="s">
        <v>46</v>
      </c>
      <c r="I172" s="61" t="s">
        <v>49</v>
      </c>
      <c r="J172" s="3" t="s">
        <v>48</v>
      </c>
      <c r="K172" s="74">
        <v>2022</v>
      </c>
      <c r="L172" s="74">
        <f>K172+1</f>
        <v>2023</v>
      </c>
      <c r="M172" s="74">
        <f t="shared" ref="M172:O172" si="59">L172+1</f>
        <v>2024</v>
      </c>
      <c r="N172" s="74">
        <f t="shared" si="59"/>
        <v>2025</v>
      </c>
      <c r="O172" s="74">
        <f t="shared" si="59"/>
        <v>2026</v>
      </c>
    </row>
    <row r="173" spans="2:15" hidden="1" outlineLevel="1" x14ac:dyDescent="0.25">
      <c r="H173" s="75">
        <f>H165</f>
        <v>2022</v>
      </c>
      <c r="I173" s="87">
        <f>K151</f>
        <v>4550</v>
      </c>
      <c r="J173" s="87">
        <f>I173/I165</f>
        <v>227.5</v>
      </c>
      <c r="K173" s="88">
        <f>$J173*K165</f>
        <v>113.75</v>
      </c>
      <c r="L173" s="87">
        <f t="shared" ref="L173:O173" si="60">$J173*L165</f>
        <v>227.5</v>
      </c>
      <c r="M173" s="89">
        <f t="shared" si="60"/>
        <v>227.5</v>
      </c>
      <c r="N173" s="89">
        <f t="shared" si="60"/>
        <v>227.5</v>
      </c>
      <c r="O173" s="90">
        <f t="shared" si="60"/>
        <v>227.5</v>
      </c>
    </row>
    <row r="174" spans="2:15" hidden="1" outlineLevel="1" x14ac:dyDescent="0.25">
      <c r="H174" s="80">
        <f>H173+1</f>
        <v>2023</v>
      </c>
      <c r="I174" s="91">
        <f>L151</f>
        <v>4700</v>
      </c>
      <c r="J174" s="91">
        <f t="shared" ref="J174:J177" si="61">I174/I166</f>
        <v>235</v>
      </c>
      <c r="K174" s="88">
        <f t="shared" ref="K174:O174" si="62">$J174*K166</f>
        <v>0</v>
      </c>
      <c r="L174" s="92">
        <f t="shared" si="62"/>
        <v>117.5</v>
      </c>
      <c r="M174" s="92">
        <f t="shared" si="62"/>
        <v>235</v>
      </c>
      <c r="N174" s="92">
        <f t="shared" si="62"/>
        <v>235</v>
      </c>
      <c r="O174" s="93">
        <f t="shared" si="62"/>
        <v>235</v>
      </c>
    </row>
    <row r="175" spans="2:15" hidden="1" outlineLevel="1" x14ac:dyDescent="0.25">
      <c r="H175" s="80">
        <f>H174+1</f>
        <v>2024</v>
      </c>
      <c r="I175" s="91">
        <f>M151</f>
        <v>4850</v>
      </c>
      <c r="J175" s="91">
        <f t="shared" si="61"/>
        <v>242.5</v>
      </c>
      <c r="K175" s="88">
        <f t="shared" ref="K175:O175" si="63">$J175*K167</f>
        <v>0</v>
      </c>
      <c r="L175" s="92">
        <f t="shared" si="63"/>
        <v>0</v>
      </c>
      <c r="M175" s="92">
        <f t="shared" si="63"/>
        <v>121.25</v>
      </c>
      <c r="N175" s="92">
        <f t="shared" si="63"/>
        <v>242.5</v>
      </c>
      <c r="O175" s="93">
        <f t="shared" si="63"/>
        <v>242.5</v>
      </c>
    </row>
    <row r="176" spans="2:15" hidden="1" outlineLevel="1" x14ac:dyDescent="0.25">
      <c r="H176" s="80">
        <f>H175+1</f>
        <v>2025</v>
      </c>
      <c r="I176" s="91">
        <f>N151</f>
        <v>5000</v>
      </c>
      <c r="J176" s="91">
        <f t="shared" si="61"/>
        <v>250</v>
      </c>
      <c r="K176" s="94">
        <f t="shared" ref="K176:O176" si="64">$J176*K168</f>
        <v>0</v>
      </c>
      <c r="L176" s="92">
        <f t="shared" si="64"/>
        <v>0</v>
      </c>
      <c r="M176" s="92">
        <f t="shared" si="64"/>
        <v>0</v>
      </c>
      <c r="N176" s="92">
        <f t="shared" si="64"/>
        <v>125</v>
      </c>
      <c r="O176" s="93">
        <f t="shared" si="64"/>
        <v>250</v>
      </c>
    </row>
    <row r="177" spans="2:15" hidden="1" outlineLevel="1" x14ac:dyDescent="0.25">
      <c r="H177" s="84">
        <f>H176+1</f>
        <v>2026</v>
      </c>
      <c r="I177" s="95">
        <f>O151</f>
        <v>5125</v>
      </c>
      <c r="J177" s="95">
        <f t="shared" si="61"/>
        <v>256.25</v>
      </c>
      <c r="K177" s="96">
        <f t="shared" ref="K177:O177" si="65">$J177*K169</f>
        <v>0</v>
      </c>
      <c r="L177" s="97">
        <f t="shared" si="65"/>
        <v>0</v>
      </c>
      <c r="M177" s="97">
        <f t="shared" si="65"/>
        <v>0</v>
      </c>
      <c r="N177" s="97">
        <f t="shared" si="65"/>
        <v>0</v>
      </c>
      <c r="O177" s="98">
        <f t="shared" si="65"/>
        <v>128.125</v>
      </c>
    </row>
    <row r="178" spans="2:15" hidden="1" outlineLevel="1" x14ac:dyDescent="0.25">
      <c r="H178" s="99"/>
      <c r="I178" s="100"/>
      <c r="J178" s="91"/>
      <c r="K178" s="92"/>
      <c r="L178" s="92"/>
      <c r="M178" s="92"/>
      <c r="N178" s="92"/>
      <c r="O178" s="92"/>
    </row>
    <row r="179" spans="2:15" hidden="1" outlineLevel="1" x14ac:dyDescent="0.25">
      <c r="C179" s="19"/>
      <c r="D179" s="19"/>
      <c r="E179" s="19"/>
      <c r="F179" s="19"/>
      <c r="G179" s="19"/>
      <c r="H179" s="101"/>
      <c r="I179" s="102"/>
      <c r="J179" s="95"/>
      <c r="K179" s="97"/>
      <c r="L179" s="97"/>
      <c r="M179" s="97"/>
      <c r="N179" s="97"/>
      <c r="O179" s="97"/>
    </row>
    <row r="180" spans="2:15" hidden="1" outlineLevel="1" x14ac:dyDescent="0.25"/>
    <row r="181" spans="2:15" hidden="1" outlineLevel="1" x14ac:dyDescent="0.25">
      <c r="B181" s="3" t="s">
        <v>50</v>
      </c>
    </row>
    <row r="182" spans="2:15" hidden="1" outlineLevel="1" x14ac:dyDescent="0.25">
      <c r="C182" s="3" t="s">
        <v>51</v>
      </c>
      <c r="K182" s="40">
        <f>$F$155/$F$154*K155</f>
        <v>4063.375</v>
      </c>
      <c r="L182" s="40">
        <f t="shared" ref="L182:O182" si="66">$F$155/$F$154*L155</f>
        <v>4063.375</v>
      </c>
      <c r="M182" s="40">
        <f t="shared" si="66"/>
        <v>4063.375</v>
      </c>
      <c r="N182" s="40">
        <f t="shared" si="66"/>
        <v>4063.375</v>
      </c>
      <c r="O182" s="40">
        <f t="shared" si="66"/>
        <v>4063.375</v>
      </c>
    </row>
    <row r="183" spans="2:15" hidden="1" outlineLevel="1" x14ac:dyDescent="0.25">
      <c r="C183" s="3" t="s">
        <v>52</v>
      </c>
      <c r="K183" s="40">
        <f>SUM(K173:K177)</f>
        <v>113.75</v>
      </c>
      <c r="L183" s="40">
        <f t="shared" ref="L183:O183" si="67">SUM(L173:L177)</f>
        <v>345</v>
      </c>
      <c r="M183" s="40">
        <f t="shared" si="67"/>
        <v>583.75</v>
      </c>
      <c r="N183" s="40">
        <f t="shared" si="67"/>
        <v>830</v>
      </c>
      <c r="O183" s="40">
        <f t="shared" si="67"/>
        <v>1083.125</v>
      </c>
    </row>
    <row r="184" spans="2:15" ht="14.4" hidden="1" outlineLevel="1" thickBot="1" x14ac:dyDescent="0.3">
      <c r="C184" s="3" t="s">
        <v>53</v>
      </c>
      <c r="K184" s="49">
        <f>SUM(K182:K183)</f>
        <v>4177.125</v>
      </c>
      <c r="L184" s="49">
        <f t="shared" ref="L184:O184" si="68">SUM(L182:L183)</f>
        <v>4408.375</v>
      </c>
      <c r="M184" s="49">
        <f t="shared" si="68"/>
        <v>4647.125</v>
      </c>
      <c r="N184" s="49">
        <f t="shared" si="68"/>
        <v>4893.375</v>
      </c>
      <c r="O184" s="49">
        <f t="shared" si="68"/>
        <v>5146.5</v>
      </c>
    </row>
    <row r="185" spans="2:15" hidden="1" outlineLevel="1" x14ac:dyDescent="0.25"/>
    <row r="186" spans="2:15" hidden="1" outlineLevel="1" x14ac:dyDescent="0.25">
      <c r="J186" s="103"/>
      <c r="K186" s="104"/>
      <c r="L186" s="104"/>
      <c r="M186" s="104"/>
      <c r="N186" s="104"/>
      <c r="O186" s="105" t="s">
        <v>54</v>
      </c>
    </row>
    <row r="187" spans="2:15" hidden="1" outlineLevel="1" x14ac:dyDescent="0.25">
      <c r="J187" s="103"/>
      <c r="K187" s="104"/>
      <c r="L187" s="104"/>
      <c r="M187" s="104"/>
      <c r="N187" s="104"/>
      <c r="O187" s="106" t="s">
        <v>55</v>
      </c>
    </row>
    <row r="188" spans="2:15" hidden="1" outlineLevel="1" x14ac:dyDescent="0.25"/>
    <row r="189" spans="2:15" hidden="1" outlineLevel="1" x14ac:dyDescent="0.25"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</row>
    <row r="190" spans="2:15" collapsed="1" x14ac:dyDescent="0.25"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</row>
    <row r="191" spans="2:15" ht="20.399999999999999" x14ac:dyDescent="0.35">
      <c r="B191" s="129" t="s">
        <v>59</v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2:15" hidden="1" outlineLevel="1" x14ac:dyDescent="0.25"/>
    <row r="193" spans="2:15" hidden="1" outlineLevel="1" x14ac:dyDescent="0.25"/>
    <row r="194" spans="2:15" ht="14.4" hidden="1" outlineLevel="1" thickBot="1" x14ac:dyDescent="0.3">
      <c r="B194" s="4" t="s">
        <v>1</v>
      </c>
      <c r="H194" s="5">
        <v>2027</v>
      </c>
      <c r="I194" s="5">
        <v>2020</v>
      </c>
      <c r="J194" s="5">
        <v>2021</v>
      </c>
      <c r="K194" s="6">
        <v>2022</v>
      </c>
      <c r="L194" s="6">
        <v>2023</v>
      </c>
      <c r="M194" s="6">
        <v>2024</v>
      </c>
      <c r="N194" s="6">
        <v>2025</v>
      </c>
      <c r="O194" s="6">
        <v>2026</v>
      </c>
    </row>
    <row r="195" spans="2:15" hidden="1" outlineLevel="1" x14ac:dyDescent="0.25"/>
    <row r="196" spans="2:15" hidden="1" outlineLevel="1" x14ac:dyDescent="0.25">
      <c r="C196" s="62" t="s">
        <v>38</v>
      </c>
      <c r="D196" s="63"/>
      <c r="E196" s="63"/>
      <c r="F196" s="63"/>
      <c r="G196" s="63"/>
      <c r="H196" s="107">
        <f>H151</f>
        <v>4982</v>
      </c>
      <c r="I196" s="107">
        <f>I151</f>
        <v>5199</v>
      </c>
      <c r="J196" s="107">
        <f>J151</f>
        <v>4400</v>
      </c>
      <c r="K196" s="107">
        <f>K151</f>
        <v>4550</v>
      </c>
      <c r="L196" s="107">
        <f>L151</f>
        <v>4700</v>
      </c>
      <c r="M196" s="107">
        <f>M151</f>
        <v>4850</v>
      </c>
      <c r="N196" s="107">
        <f>N151</f>
        <v>5000</v>
      </c>
      <c r="O196" s="108">
        <f>O151</f>
        <v>5125</v>
      </c>
    </row>
    <row r="197" spans="2:15" hidden="1" outlineLevel="1" x14ac:dyDescent="0.25">
      <c r="C197" s="86" t="s">
        <v>64</v>
      </c>
      <c r="D197" s="19"/>
      <c r="E197" s="19"/>
      <c r="F197" s="19"/>
      <c r="G197" s="19"/>
      <c r="H197" s="46"/>
      <c r="I197" s="46"/>
      <c r="J197" s="46"/>
      <c r="K197" s="109">
        <v>0.15</v>
      </c>
      <c r="L197" s="109">
        <v>0.15</v>
      </c>
      <c r="M197" s="109">
        <v>0.15</v>
      </c>
      <c r="N197" s="109">
        <v>0.15</v>
      </c>
      <c r="O197" s="110">
        <v>0.15</v>
      </c>
    </row>
    <row r="198" spans="2:15" hidden="1" outlineLevel="1" x14ac:dyDescent="0.25">
      <c r="H198" s="20"/>
      <c r="I198" s="20"/>
      <c r="J198" s="20"/>
      <c r="K198" s="20"/>
      <c r="L198" s="20"/>
      <c r="M198" s="20"/>
      <c r="N198" s="20"/>
      <c r="O198" s="20"/>
    </row>
    <row r="199" spans="2:15" hidden="1" outlineLevel="1" x14ac:dyDescent="0.25">
      <c r="C199" s="111" t="s">
        <v>60</v>
      </c>
      <c r="D199" s="112"/>
      <c r="E199" s="112"/>
      <c r="F199" s="113">
        <f>F161</f>
        <v>0.5</v>
      </c>
      <c r="H199" s="20"/>
      <c r="I199" s="20"/>
      <c r="J199" s="20"/>
      <c r="K199" s="20"/>
      <c r="L199" s="20"/>
      <c r="M199" s="20"/>
      <c r="N199" s="20"/>
      <c r="O199" s="20"/>
    </row>
    <row r="200" spans="2:15" hidden="1" outlineLevel="1" x14ac:dyDescent="0.25">
      <c r="H200" s="20"/>
      <c r="I200" s="20"/>
      <c r="J200" s="20"/>
      <c r="K200" s="20"/>
      <c r="L200" s="20"/>
      <c r="M200" s="20"/>
      <c r="N200" s="20"/>
      <c r="O200" s="20"/>
    </row>
    <row r="201" spans="2:15" hidden="1" outlineLevel="1" x14ac:dyDescent="0.25">
      <c r="H201" s="20"/>
      <c r="I201" s="20"/>
      <c r="J201" s="20"/>
      <c r="K201" s="20"/>
      <c r="L201" s="20"/>
      <c r="M201" s="20"/>
      <c r="N201" s="20"/>
      <c r="O201" s="20"/>
    </row>
    <row r="202" spans="2:15" hidden="1" outlineLevel="1" x14ac:dyDescent="0.25">
      <c r="B202" s="10" t="s">
        <v>61</v>
      </c>
      <c r="H202" s="20"/>
      <c r="I202" s="20"/>
      <c r="J202" s="20"/>
      <c r="K202" s="20"/>
      <c r="L202" s="20"/>
      <c r="M202" s="20"/>
      <c r="N202" s="20"/>
      <c r="O202" s="20"/>
    </row>
    <row r="203" spans="2:15" hidden="1" outlineLevel="1" x14ac:dyDescent="0.25">
      <c r="C203" s="3" t="s">
        <v>62</v>
      </c>
      <c r="H203" s="20">
        <f>G206</f>
        <v>65014</v>
      </c>
      <c r="I203" s="20">
        <f t="shared" ref="I203:O203" si="69">H206</f>
        <v>67036</v>
      </c>
      <c r="J203" s="20">
        <f t="shared" si="69"/>
        <v>69039</v>
      </c>
      <c r="K203" s="20">
        <f t="shared" si="69"/>
        <v>69987</v>
      </c>
      <c r="L203" s="20">
        <f t="shared" si="69"/>
        <v>70359.875</v>
      </c>
      <c r="M203" s="20">
        <f t="shared" si="69"/>
        <v>70651.5</v>
      </c>
      <c r="N203" s="20">
        <f t="shared" si="69"/>
        <v>70854.375</v>
      </c>
      <c r="O203" s="20">
        <f t="shared" si="69"/>
        <v>70961</v>
      </c>
    </row>
    <row r="204" spans="2:15" hidden="1" outlineLevel="1" x14ac:dyDescent="0.25">
      <c r="C204" s="3" t="s">
        <v>38</v>
      </c>
      <c r="H204" s="20">
        <f>H196</f>
        <v>4982</v>
      </c>
      <c r="I204" s="20">
        <f t="shared" ref="I204:O204" si="70">I196</f>
        <v>5199</v>
      </c>
      <c r="J204" s="20">
        <f t="shared" si="70"/>
        <v>4400</v>
      </c>
      <c r="K204" s="20">
        <f t="shared" si="70"/>
        <v>4550</v>
      </c>
      <c r="L204" s="20">
        <f t="shared" si="70"/>
        <v>4700</v>
      </c>
      <c r="M204" s="20">
        <f t="shared" si="70"/>
        <v>4850</v>
      </c>
      <c r="N204" s="20">
        <f t="shared" si="70"/>
        <v>5000</v>
      </c>
      <c r="O204" s="20">
        <f t="shared" si="70"/>
        <v>5125</v>
      </c>
    </row>
    <row r="205" spans="2:15" hidden="1" outlineLevel="1" x14ac:dyDescent="0.25">
      <c r="C205" s="3" t="s">
        <v>36</v>
      </c>
      <c r="G205" s="19"/>
      <c r="H205" s="46">
        <f>H105</f>
        <v>-2960</v>
      </c>
      <c r="I205" s="46">
        <f>I105</f>
        <v>-3196</v>
      </c>
      <c r="J205" s="46">
        <f>J105</f>
        <v>-3452</v>
      </c>
      <c r="K205" s="46">
        <f>K105</f>
        <v>-4177.125</v>
      </c>
      <c r="L205" s="46">
        <f>L105</f>
        <v>-4408.375</v>
      </c>
      <c r="M205" s="46">
        <f>M105</f>
        <v>-4647.125</v>
      </c>
      <c r="N205" s="46">
        <f>N105</f>
        <v>-4893.375</v>
      </c>
      <c r="O205" s="46">
        <f>O105</f>
        <v>-5146.5</v>
      </c>
    </row>
    <row r="206" spans="2:15" hidden="1" outlineLevel="1" x14ac:dyDescent="0.25">
      <c r="C206" s="3" t="s">
        <v>63</v>
      </c>
      <c r="G206" s="114">
        <v>65014</v>
      </c>
      <c r="H206" s="40">
        <f>SUM(H203:H205)</f>
        <v>67036</v>
      </c>
      <c r="I206" s="20">
        <f t="shared" ref="I206:O206" si="71">SUM(I203:I205)</f>
        <v>69039</v>
      </c>
      <c r="J206" s="20">
        <f t="shared" si="71"/>
        <v>69987</v>
      </c>
      <c r="K206" s="20">
        <f t="shared" si="71"/>
        <v>70359.875</v>
      </c>
      <c r="L206" s="20">
        <f t="shared" si="71"/>
        <v>70651.5</v>
      </c>
      <c r="M206" s="20">
        <f t="shared" si="71"/>
        <v>70854.375</v>
      </c>
      <c r="N206" s="20">
        <f t="shared" si="71"/>
        <v>70961</v>
      </c>
      <c r="O206" s="20">
        <f t="shared" si="71"/>
        <v>70939.5</v>
      </c>
    </row>
    <row r="207" spans="2:15" hidden="1" outlineLevel="1" x14ac:dyDescent="0.25"/>
    <row r="208" spans="2:15" hidden="1" outlineLevel="1" x14ac:dyDescent="0.25"/>
    <row r="209" spans="2:15" hidden="1" outlineLevel="1" x14ac:dyDescent="0.25">
      <c r="B209" s="10" t="s">
        <v>65</v>
      </c>
    </row>
    <row r="210" spans="2:15" hidden="1" outlineLevel="1" x14ac:dyDescent="0.25">
      <c r="C210" s="3" t="s">
        <v>62</v>
      </c>
      <c r="G210" s="20"/>
      <c r="H210" s="20"/>
      <c r="I210" s="20"/>
      <c r="J210" s="20"/>
      <c r="K210" s="20">
        <f>J213</f>
        <v>39211</v>
      </c>
      <c r="L210" s="20">
        <f t="shared" ref="L210:O210" si="72">K213</f>
        <v>37538.1</v>
      </c>
      <c r="M210" s="20">
        <f t="shared" si="72"/>
        <v>36254.885000000002</v>
      </c>
      <c r="N210" s="20">
        <f t="shared" si="72"/>
        <v>35302.902249999999</v>
      </c>
      <c r="O210" s="20">
        <f t="shared" si="72"/>
        <v>34632.4669125</v>
      </c>
    </row>
    <row r="211" spans="2:15" hidden="1" outlineLevel="1" x14ac:dyDescent="0.25">
      <c r="C211" s="3" t="s">
        <v>38</v>
      </c>
      <c r="G211" s="20"/>
      <c r="H211" s="20"/>
      <c r="I211" s="20"/>
      <c r="J211" s="20"/>
      <c r="K211" s="20">
        <f>K196</f>
        <v>4550</v>
      </c>
      <c r="L211" s="20">
        <f t="shared" ref="L211:O211" si="73">L196</f>
        <v>4700</v>
      </c>
      <c r="M211" s="20">
        <f t="shared" si="73"/>
        <v>4850</v>
      </c>
      <c r="N211" s="20">
        <f t="shared" si="73"/>
        <v>5000</v>
      </c>
      <c r="O211" s="20">
        <f t="shared" si="73"/>
        <v>5125</v>
      </c>
    </row>
    <row r="212" spans="2:15" hidden="1" outlineLevel="1" x14ac:dyDescent="0.25">
      <c r="C212" s="3" t="s">
        <v>36</v>
      </c>
      <c r="G212" s="44"/>
      <c r="H212" s="44"/>
      <c r="I212" s="44"/>
      <c r="J212" s="46"/>
      <c r="K212" s="46">
        <f>(K210+K211*$F$199)*K197*-1</f>
        <v>-6222.9</v>
      </c>
      <c r="L212" s="46">
        <f t="shared" ref="L212:O212" si="74">(L210+L211*$F$199)*L197*-1</f>
        <v>-5983.2149999999992</v>
      </c>
      <c r="M212" s="46">
        <f t="shared" si="74"/>
        <v>-5801.9827500000001</v>
      </c>
      <c r="N212" s="46">
        <f t="shared" si="74"/>
        <v>-5670.4353375000001</v>
      </c>
      <c r="O212" s="46">
        <f t="shared" si="74"/>
        <v>-5579.2450368749996</v>
      </c>
    </row>
    <row r="213" spans="2:15" hidden="1" outlineLevel="1" x14ac:dyDescent="0.25">
      <c r="C213" s="3" t="s">
        <v>63</v>
      </c>
      <c r="H213" s="20"/>
      <c r="I213" s="20"/>
      <c r="J213" s="114">
        <v>39211</v>
      </c>
      <c r="K213" s="20">
        <f>SUM(K210:K212)</f>
        <v>37538.1</v>
      </c>
      <c r="L213" s="20">
        <f t="shared" ref="L213:O213" si="75">SUM(L210:L212)</f>
        <v>36254.885000000002</v>
      </c>
      <c r="M213" s="20">
        <f t="shared" si="75"/>
        <v>35302.902249999999</v>
      </c>
      <c r="N213" s="20">
        <f t="shared" si="75"/>
        <v>34632.4669125</v>
      </c>
      <c r="O213" s="20">
        <f t="shared" si="75"/>
        <v>34178.221875625</v>
      </c>
    </row>
    <row r="214" spans="2:15" hidden="1" outlineLevel="1" x14ac:dyDescent="0.25"/>
    <row r="215" spans="2:15" hidden="1" outlineLevel="1" x14ac:dyDescent="0.25"/>
    <row r="216" spans="2:15" hidden="1" outlineLevel="1" x14ac:dyDescent="0.25">
      <c r="K216" s="104"/>
      <c r="L216" s="104"/>
      <c r="M216" s="104"/>
      <c r="N216" s="104"/>
      <c r="O216" s="105" t="s">
        <v>66</v>
      </c>
    </row>
    <row r="217" spans="2:15" hidden="1" outlineLevel="1" x14ac:dyDescent="0.25"/>
    <row r="218" spans="2:15" hidden="1" outlineLevel="1" x14ac:dyDescent="0.25"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</row>
    <row r="219" spans="2:15" collapsed="1" x14ac:dyDescent="0.25"/>
    <row r="220" spans="2:15" ht="20.399999999999999" x14ac:dyDescent="0.35">
      <c r="B220" s="129" t="s">
        <v>67</v>
      </c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2:15" hidden="1" outlineLevel="1" x14ac:dyDescent="0.25"/>
    <row r="222" spans="2:15" ht="14.4" hidden="1" outlineLevel="1" thickBot="1" x14ac:dyDescent="0.3">
      <c r="B222" s="4" t="s">
        <v>1</v>
      </c>
      <c r="H222" s="5">
        <v>2027</v>
      </c>
      <c r="I222" s="5">
        <v>2020</v>
      </c>
      <c r="J222" s="5">
        <v>2021</v>
      </c>
      <c r="K222" s="6">
        <v>2022</v>
      </c>
      <c r="L222" s="6">
        <v>2023</v>
      </c>
      <c r="M222" s="6">
        <v>2024</v>
      </c>
      <c r="N222" s="6">
        <v>2025</v>
      </c>
      <c r="O222" s="6">
        <v>2026</v>
      </c>
    </row>
    <row r="223" spans="2:15" hidden="1" outlineLevel="1" x14ac:dyDescent="0.25"/>
    <row r="224" spans="2:15" hidden="1" outlineLevel="1" x14ac:dyDescent="0.25">
      <c r="C224" s="62" t="s">
        <v>68</v>
      </c>
      <c r="D224" s="63"/>
      <c r="E224" s="63"/>
      <c r="F224" s="63"/>
      <c r="G224" s="63"/>
      <c r="H224" s="115">
        <f>H109</f>
        <v>11799.394900000003</v>
      </c>
      <c r="I224" s="115">
        <f>I109</f>
        <v>11351.921550000003</v>
      </c>
      <c r="J224" s="115">
        <f>J109</f>
        <v>12479.519</v>
      </c>
      <c r="K224" s="115">
        <f>K109</f>
        <v>13061.502962850016</v>
      </c>
      <c r="L224" s="115">
        <f>L109</f>
        <v>12772.844957366317</v>
      </c>
      <c r="M224" s="115">
        <f>M109</f>
        <v>12460.475897114535</v>
      </c>
      <c r="N224" s="115">
        <f>N109</f>
        <v>12060.61117908694</v>
      </c>
      <c r="O224" s="116">
        <f>O109</f>
        <v>11328.887463014522</v>
      </c>
    </row>
    <row r="225" spans="2:15" hidden="1" outlineLevel="1" x14ac:dyDescent="0.25">
      <c r="C225" s="86" t="s">
        <v>70</v>
      </c>
      <c r="D225" s="19"/>
      <c r="E225" s="19"/>
      <c r="F225" s="19"/>
      <c r="G225" s="19"/>
      <c r="H225" s="117" t="str">
        <f>IF(H224&gt;0,"Yes","No")</f>
        <v>Yes</v>
      </c>
      <c r="I225" s="117" t="str">
        <f t="shared" ref="I225:O225" si="76">IF(I224&gt;0,"Yes","No")</f>
        <v>Yes</v>
      </c>
      <c r="J225" s="117" t="str">
        <f t="shared" si="76"/>
        <v>Yes</v>
      </c>
      <c r="K225" s="117" t="str">
        <f t="shared" si="76"/>
        <v>Yes</v>
      </c>
      <c r="L225" s="117" t="str">
        <f t="shared" si="76"/>
        <v>Yes</v>
      </c>
      <c r="M225" s="117" t="str">
        <f t="shared" si="76"/>
        <v>Yes</v>
      </c>
      <c r="N225" s="117" t="str">
        <f t="shared" si="76"/>
        <v>Yes</v>
      </c>
      <c r="O225" s="118" t="str">
        <f t="shared" si="76"/>
        <v>Yes</v>
      </c>
    </row>
    <row r="226" spans="2:15" hidden="1" outlineLevel="1" x14ac:dyDescent="0.25"/>
    <row r="227" spans="2:15" hidden="1" outlineLevel="1" x14ac:dyDescent="0.25">
      <c r="C227" s="62" t="s">
        <v>69</v>
      </c>
      <c r="D227" s="63"/>
      <c r="E227" s="63"/>
      <c r="F227" s="119">
        <v>0.25</v>
      </c>
    </row>
    <row r="228" spans="2:15" hidden="1" outlineLevel="1" x14ac:dyDescent="0.25">
      <c r="C228" s="86" t="s">
        <v>71</v>
      </c>
      <c r="D228" s="19"/>
      <c r="E228" s="19"/>
      <c r="F228" s="120"/>
    </row>
    <row r="229" spans="2:15" hidden="1" outlineLevel="1" x14ac:dyDescent="0.25"/>
    <row r="230" spans="2:15" hidden="1" outlineLevel="1" x14ac:dyDescent="0.25">
      <c r="B230" s="10" t="s">
        <v>72</v>
      </c>
    </row>
    <row r="231" spans="2:15" hidden="1" outlineLevel="1" x14ac:dyDescent="0.25">
      <c r="C231" s="3" t="s">
        <v>58</v>
      </c>
      <c r="K231" s="40">
        <f>K224</f>
        <v>13061.502962850016</v>
      </c>
      <c r="L231" s="40">
        <f t="shared" ref="L231:O231" si="77">L224</f>
        <v>12772.844957366317</v>
      </c>
      <c r="M231" s="40">
        <f t="shared" si="77"/>
        <v>12460.475897114535</v>
      </c>
      <c r="N231" s="40">
        <f t="shared" si="77"/>
        <v>12060.61117908694</v>
      </c>
      <c r="O231" s="40">
        <f t="shared" si="77"/>
        <v>11328.887463014522</v>
      </c>
    </row>
    <row r="232" spans="2:15" hidden="1" outlineLevel="1" x14ac:dyDescent="0.25">
      <c r="C232" s="3" t="s">
        <v>73</v>
      </c>
      <c r="K232" s="40">
        <f>K184</f>
        <v>4177.125</v>
      </c>
      <c r="L232" s="40">
        <f>L184</f>
        <v>4408.375</v>
      </c>
      <c r="M232" s="40">
        <f>M184</f>
        <v>4647.125</v>
      </c>
      <c r="N232" s="40">
        <f>N184</f>
        <v>4893.375</v>
      </c>
      <c r="O232" s="40">
        <f>O184</f>
        <v>5146.5</v>
      </c>
    </row>
    <row r="233" spans="2:15" hidden="1" outlineLevel="1" x14ac:dyDescent="0.25">
      <c r="C233" s="3" t="s">
        <v>74</v>
      </c>
      <c r="K233" s="41">
        <f>K212</f>
        <v>-6222.9</v>
      </c>
      <c r="L233" s="41">
        <f t="shared" ref="L233:O233" si="78">L212</f>
        <v>-5983.2149999999992</v>
      </c>
      <c r="M233" s="41">
        <f t="shared" si="78"/>
        <v>-5801.9827500000001</v>
      </c>
      <c r="N233" s="41">
        <f t="shared" si="78"/>
        <v>-5670.4353375000001</v>
      </c>
      <c r="O233" s="41">
        <f t="shared" si="78"/>
        <v>-5579.2450368749996</v>
      </c>
    </row>
    <row r="234" spans="2:15" hidden="1" outlineLevel="1" x14ac:dyDescent="0.25">
      <c r="C234" s="3" t="s">
        <v>75</v>
      </c>
      <c r="K234" s="40">
        <f>SUM(K231:K233)</f>
        <v>11015.727962850016</v>
      </c>
      <c r="L234" s="40">
        <f t="shared" ref="L234:O234" si="79">SUM(L231:L233)</f>
        <v>11198.004957366316</v>
      </c>
      <c r="M234" s="40">
        <f t="shared" si="79"/>
        <v>11305.618147114536</v>
      </c>
      <c r="N234" s="40">
        <f t="shared" si="79"/>
        <v>11283.550841586941</v>
      </c>
      <c r="O234" s="40">
        <f t="shared" si="79"/>
        <v>10896.142426139522</v>
      </c>
    </row>
    <row r="235" spans="2:15" hidden="1" outlineLevel="1" x14ac:dyDescent="0.25">
      <c r="J235" s="20"/>
      <c r="K235" s="20"/>
      <c r="L235" s="20"/>
      <c r="M235" s="20"/>
      <c r="N235" s="20"/>
      <c r="O235" s="20"/>
    </row>
    <row r="236" spans="2:15" hidden="1" outlineLevel="1" x14ac:dyDescent="0.25">
      <c r="B236" s="10" t="s">
        <v>76</v>
      </c>
      <c r="J236" s="20"/>
      <c r="K236" s="20"/>
      <c r="L236" s="20"/>
      <c r="M236" s="20"/>
      <c r="N236" s="20"/>
      <c r="O236" s="20"/>
    </row>
    <row r="237" spans="2:15" ht="15" hidden="1" outlineLevel="1" x14ac:dyDescent="0.35">
      <c r="C237" s="121" t="s">
        <v>75</v>
      </c>
      <c r="J237" s="20"/>
      <c r="K237" s="20">
        <f>K234</f>
        <v>11015.727962850016</v>
      </c>
      <c r="L237" s="20">
        <f t="shared" ref="L237:O237" si="80">L234</f>
        <v>11198.004957366316</v>
      </c>
      <c r="M237" s="20">
        <f t="shared" si="80"/>
        <v>11305.618147114536</v>
      </c>
      <c r="N237" s="20">
        <f t="shared" si="80"/>
        <v>11283.550841586941</v>
      </c>
      <c r="O237" s="20">
        <f t="shared" si="80"/>
        <v>10896.142426139522</v>
      </c>
    </row>
    <row r="238" spans="2:15" ht="15" hidden="1" outlineLevel="1" x14ac:dyDescent="0.35">
      <c r="C238" s="121" t="s">
        <v>80</v>
      </c>
      <c r="J238" s="20"/>
      <c r="K238" s="46">
        <f>K245</f>
        <v>-11015.727962850016</v>
      </c>
      <c r="L238" s="46">
        <f t="shared" ref="L238:O238" si="81">L245</f>
        <v>-11198.004957366316</v>
      </c>
      <c r="M238" s="46">
        <f t="shared" si="81"/>
        <v>-1914.2670797836672</v>
      </c>
      <c r="N238" s="46">
        <f t="shared" si="81"/>
        <v>0</v>
      </c>
      <c r="O238" s="46">
        <f t="shared" si="81"/>
        <v>0</v>
      </c>
    </row>
    <row r="239" spans="2:15" ht="15" hidden="1" outlineLevel="1" x14ac:dyDescent="0.35">
      <c r="C239" s="121" t="s">
        <v>81</v>
      </c>
      <c r="J239" s="20"/>
      <c r="K239" s="20">
        <f>SUM(K237:K238)</f>
        <v>0</v>
      </c>
      <c r="L239" s="20">
        <f t="shared" ref="L239:O239" si="82">SUM(L237:L238)</f>
        <v>0</v>
      </c>
      <c r="M239" s="20">
        <f t="shared" si="82"/>
        <v>9391.3510673308683</v>
      </c>
      <c r="N239" s="20">
        <f t="shared" si="82"/>
        <v>11283.550841586941</v>
      </c>
      <c r="O239" s="20">
        <f t="shared" si="82"/>
        <v>10896.142426139522</v>
      </c>
    </row>
    <row r="240" spans="2:15" hidden="1" outlineLevel="1" x14ac:dyDescent="0.25">
      <c r="J240" s="20"/>
      <c r="K240" s="20"/>
      <c r="L240" s="20"/>
      <c r="M240" s="20"/>
      <c r="N240" s="20"/>
      <c r="O240" s="20"/>
    </row>
    <row r="241" spans="2:15" hidden="1" outlineLevel="1" x14ac:dyDescent="0.25">
      <c r="J241" s="20"/>
      <c r="K241" s="20"/>
      <c r="L241" s="20"/>
      <c r="M241" s="20"/>
      <c r="N241" s="20"/>
      <c r="O241" s="20"/>
    </row>
    <row r="242" spans="2:15" hidden="1" outlineLevel="1" x14ac:dyDescent="0.25">
      <c r="B242" s="10" t="s">
        <v>77</v>
      </c>
      <c r="J242" s="20"/>
      <c r="K242" s="20"/>
      <c r="L242" s="20"/>
      <c r="M242" s="20"/>
      <c r="N242" s="20"/>
      <c r="O242" s="20"/>
    </row>
    <row r="243" spans="2:15" hidden="1" outlineLevel="1" x14ac:dyDescent="0.25">
      <c r="C243" s="3" t="s">
        <v>62</v>
      </c>
      <c r="J243" s="20"/>
      <c r="K243" s="20">
        <f>J246</f>
        <v>24128</v>
      </c>
      <c r="L243" s="20">
        <f>K246</f>
        <v>13112.272037149984</v>
      </c>
      <c r="M243" s="20">
        <f t="shared" ref="M243:O243" si="83">L246</f>
        <v>1914.2670797836672</v>
      </c>
      <c r="N243" s="20">
        <f t="shared" si="83"/>
        <v>0</v>
      </c>
      <c r="O243" s="20">
        <f t="shared" si="83"/>
        <v>0</v>
      </c>
    </row>
    <row r="244" spans="2:15" hidden="1" outlineLevel="1" x14ac:dyDescent="0.25">
      <c r="C244" s="3" t="s">
        <v>78</v>
      </c>
      <c r="J244" s="20"/>
      <c r="K244" s="20">
        <f>-MIN(K231,0)</f>
        <v>0</v>
      </c>
      <c r="L244" s="20">
        <f>-MIN(L231,0)</f>
        <v>0</v>
      </c>
      <c r="M244" s="20">
        <f>-MIN(M231,0)</f>
        <v>0</v>
      </c>
      <c r="N244" s="20">
        <f>-MIN(N231,0)</f>
        <v>0</v>
      </c>
      <c r="O244" s="20">
        <f>-MIN(O231,0)</f>
        <v>0</v>
      </c>
    </row>
    <row r="245" spans="2:15" hidden="1" outlineLevel="1" x14ac:dyDescent="0.25">
      <c r="C245" s="3" t="s">
        <v>79</v>
      </c>
      <c r="J245" s="46"/>
      <c r="K245" s="46">
        <f>MIN(K234,K243)*-1</f>
        <v>-11015.727962850016</v>
      </c>
      <c r="L245" s="46">
        <f>MIN(L234,L243)*-1</f>
        <v>-11198.004957366316</v>
      </c>
      <c r="M245" s="46">
        <f>MIN(M234,M243)*-1</f>
        <v>-1914.2670797836672</v>
      </c>
      <c r="N245" s="46">
        <f>MIN(N234,N243)*-1</f>
        <v>0</v>
      </c>
      <c r="O245" s="46">
        <f>MIN(O234,O243)*-1</f>
        <v>0</v>
      </c>
    </row>
    <row r="246" spans="2:15" hidden="1" outlineLevel="1" x14ac:dyDescent="0.25">
      <c r="C246" s="3" t="s">
        <v>63</v>
      </c>
      <c r="J246" s="114">
        <v>24128</v>
      </c>
      <c r="K246" s="20">
        <f>SUM(K243:K245)</f>
        <v>13112.272037149984</v>
      </c>
      <c r="L246" s="20">
        <f t="shared" ref="L246:O246" si="84">SUM(L243:L245)</f>
        <v>1914.2670797836672</v>
      </c>
      <c r="M246" s="20">
        <f t="shared" si="84"/>
        <v>0</v>
      </c>
      <c r="N246" s="20">
        <f t="shared" si="84"/>
        <v>0</v>
      </c>
      <c r="O246" s="20">
        <f t="shared" si="84"/>
        <v>0</v>
      </c>
    </row>
    <row r="247" spans="2:15" hidden="1" outlineLevel="1" x14ac:dyDescent="0.25"/>
    <row r="248" spans="2:15" hidden="1" outlineLevel="1" x14ac:dyDescent="0.25"/>
    <row r="249" spans="2:15" hidden="1" outlineLevel="1" x14ac:dyDescent="0.25">
      <c r="B249" s="10" t="s">
        <v>82</v>
      </c>
    </row>
    <row r="250" spans="2:15" hidden="1" outlineLevel="1" x14ac:dyDescent="0.25">
      <c r="C250" s="3" t="s">
        <v>83</v>
      </c>
      <c r="K250" s="40">
        <f>K239*$F$227</f>
        <v>0</v>
      </c>
      <c r="L250" s="40">
        <f t="shared" ref="L250:O250" si="85">L239*$F$227</f>
        <v>0</v>
      </c>
      <c r="M250" s="40">
        <f t="shared" si="85"/>
        <v>2347.8377668327171</v>
      </c>
      <c r="N250" s="40">
        <f t="shared" si="85"/>
        <v>2820.8877103967352</v>
      </c>
      <c r="O250" s="40">
        <f t="shared" si="85"/>
        <v>2724.0356065348806</v>
      </c>
    </row>
    <row r="251" spans="2:15" hidden="1" outlineLevel="1" x14ac:dyDescent="0.25">
      <c r="C251" s="3" t="s">
        <v>84</v>
      </c>
      <c r="K251" s="132">
        <f>K252-K250</f>
        <v>3265.375740712504</v>
      </c>
      <c r="L251" s="132">
        <f t="shared" ref="L251:O251" si="86">L252-L250</f>
        <v>3193.2112393415791</v>
      </c>
      <c r="M251" s="132">
        <f t="shared" si="86"/>
        <v>767.28120744591661</v>
      </c>
      <c r="N251" s="132">
        <f t="shared" si="86"/>
        <v>194.26508437499979</v>
      </c>
      <c r="O251" s="132">
        <f t="shared" si="86"/>
        <v>108.18625921874991</v>
      </c>
    </row>
    <row r="252" spans="2:15" ht="14.4" hidden="1" outlineLevel="1" thickBot="1" x14ac:dyDescent="0.3">
      <c r="C252" s="3" t="s">
        <v>85</v>
      </c>
      <c r="K252" s="49">
        <f>MAX(K231*$F$227,0)</f>
        <v>3265.375740712504</v>
      </c>
      <c r="L252" s="49">
        <f t="shared" ref="L252:O252" si="87">MAX(L231*$F$227,0)</f>
        <v>3193.2112393415791</v>
      </c>
      <c r="M252" s="49">
        <f t="shared" si="87"/>
        <v>3115.1189742786337</v>
      </c>
      <c r="N252" s="49">
        <f t="shared" si="87"/>
        <v>3015.152794771735</v>
      </c>
      <c r="O252" s="49">
        <f t="shared" si="87"/>
        <v>2832.2218657536305</v>
      </c>
    </row>
    <row r="253" spans="2:15" hidden="1" outlineLevel="1" x14ac:dyDescent="0.25"/>
    <row r="254" spans="2:15" hidden="1" outlineLevel="1" x14ac:dyDescent="0.25"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</row>
    <row r="255" spans="2:15" collapsed="1" x14ac:dyDescent="0.25"/>
  </sheetData>
  <mergeCells count="3">
    <mergeCell ref="K153:O153"/>
    <mergeCell ref="K159:O159"/>
    <mergeCell ref="C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Elahi, Md Fozley</dc:creator>
  <cp:lastModifiedBy>Elahi, Md Fozley</cp:lastModifiedBy>
  <dcterms:created xsi:type="dcterms:W3CDTF">2015-06-05T18:17:20Z</dcterms:created>
  <dcterms:modified xsi:type="dcterms:W3CDTF">2026-03-26T19:11:43Z</dcterms:modified>
</cp:coreProperties>
</file>