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trlProps/ctrlProp2.xml" ContentType="application/vnd.ms-excel.controlproperties+xml"/>
  <Override PartName="/xl/drawings/drawing4.xml" ContentType="application/vnd.openxmlformats-officedocument.drawing+xml"/>
  <Override PartName="/xl/ctrlProps/ctrlProp3.xml" ContentType="application/vnd.ms-excel.controlpropertie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D:\CFI\For Website\"/>
    </mc:Choice>
  </mc:AlternateContent>
  <xr:revisionPtr revIDLastSave="0" documentId="8_{70F58A73-BB98-4E23-BDA8-FB63FBC51E8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Cover" sheetId="9" r:id="rId1"/>
    <sheet name="Outputs" sheetId="3" r:id="rId2"/>
    <sheet name="Outputs-R" sheetId="4" state="veryHidden" r:id="rId3"/>
    <sheet name="Inputs" sheetId="5" r:id="rId4"/>
    <sheet name="Inputs-R" sheetId="6" state="veryHidden" r:id="rId5"/>
    <sheet name="Model" sheetId="7" r:id="rId6"/>
    <sheet name="Model-R" sheetId="8" state="veryHidden" r:id="rId7"/>
  </sheets>
  <definedNames>
    <definedName name="_xlnm.Print_Area" localSheetId="3">Inputs!$B$1:$M$28,Inputs!$B$31:$M$64</definedName>
    <definedName name="_xlnm.Print_Area" localSheetId="4">'Inputs-R'!$B$3:$M$30,'Inputs-R'!$B$33:$M$66</definedName>
    <definedName name="_xlnm.Print_Area" localSheetId="5">Model!$B$2:$N$35,Model!$B$38:$N$71,Model!$B$74:$N$114,Model!$B$117:$N$155,Model!$B$158:$N$197,Model!$B$200:$N$231,Model!$B$234:$N$275,Model!$B$278:$N$304,Model!$B$307:$N$346,Model!$B$349:$N$377,Model!$B$380:$N$415,Model!$B$418:$N$443</definedName>
    <definedName name="_xlnm.Print_Area" localSheetId="6">'Model-R'!$B$3:$N$36,'Model-R'!$B$39:$N$72,'Model-R'!$B$75:$N$115,'Model-R'!$B$118:$N$156,'Model-R'!$B$159:$N$198,'Model-R'!$B$201:$N$232,'Model-R'!$B$235:$N$276,'Model-R'!$B$279:$N$305,'Model-R'!$B$308:$N$347,'Model-R'!$B$350:$N$378,'Model-R'!$B$381:$N$416,'Model-R'!$B$419:$N$444</definedName>
    <definedName name="_xlnm.Print_Area" localSheetId="1">Outputs!$B$2:$P$48</definedName>
    <definedName name="_xlnm.Print_Area" localSheetId="2">'Outputs-R'!$B$3:$P$49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3" i="7" l="1"/>
  <c r="I402" i="8" s="1"/>
  <c r="K391" i="7"/>
  <c r="J391" i="7"/>
  <c r="M62" i="7"/>
  <c r="M392" i="7" s="1"/>
  <c r="L62" i="7"/>
  <c r="L392" i="7" s="1"/>
  <c r="K62" i="7"/>
  <c r="K392" i="7" s="1"/>
  <c r="J62" i="7"/>
  <c r="J392" i="7" s="1"/>
  <c r="M60" i="7"/>
  <c r="M391" i="7" s="1"/>
  <c r="L60" i="7"/>
  <c r="L391" i="7" s="1"/>
  <c r="K60" i="7"/>
  <c r="J60" i="7"/>
  <c r="I68" i="7"/>
  <c r="I62" i="7"/>
  <c r="I392" i="7" s="1"/>
  <c r="I60" i="7"/>
  <c r="I391" i="7" s="1"/>
  <c r="I55" i="7"/>
  <c r="I56" i="7"/>
  <c r="I390" i="7" s="1"/>
  <c r="H442" i="7"/>
  <c r="I439" i="7" s="1"/>
  <c r="M427" i="7"/>
  <c r="L427" i="7"/>
  <c r="K427" i="7"/>
  <c r="K63" i="8" s="1"/>
  <c r="J427" i="7"/>
  <c r="J63" i="8" s="1"/>
  <c r="H428" i="7"/>
  <c r="I426" i="7" s="1"/>
  <c r="M370" i="7"/>
  <c r="L370" i="7"/>
  <c r="L392" i="8" s="1"/>
  <c r="K370" i="7"/>
  <c r="K61" i="8" s="1"/>
  <c r="J370" i="7"/>
  <c r="J61" i="8" s="1"/>
  <c r="H371" i="7"/>
  <c r="I370" i="8" s="1"/>
  <c r="H359" i="7"/>
  <c r="I357" i="7" s="1"/>
  <c r="I388" i="7" s="1"/>
  <c r="I239" i="7"/>
  <c r="K142" i="7"/>
  <c r="M125" i="7"/>
  <c r="L22" i="5" a="1"/>
  <c r="L22" i="5" s="1"/>
  <c r="M239" i="7" s="1"/>
  <c r="K22" i="5" a="1"/>
  <c r="K22" i="5" s="1"/>
  <c r="L55" i="7" s="1"/>
  <c r="L56" i="7" s="1"/>
  <c r="L390" i="7" s="1"/>
  <c r="J22" i="5" a="1"/>
  <c r="J22" i="5" s="1"/>
  <c r="K240" i="8" s="1"/>
  <c r="K284" i="8" s="1"/>
  <c r="K292" i="8" s="1"/>
  <c r="K299" i="8" s="1"/>
  <c r="I22" i="5" a="1"/>
  <c r="I22" i="5" s="1"/>
  <c r="J56" i="8" s="1"/>
  <c r="H22" i="5" a="1"/>
  <c r="H22" i="5" s="1"/>
  <c r="L15" i="5" a="1"/>
  <c r="L15" i="5" s="1"/>
  <c r="M143" i="8" s="1"/>
  <c r="K15" i="5" a="1"/>
  <c r="K15" i="5" s="1"/>
  <c r="L142" i="7" s="1"/>
  <c r="J15" i="5" a="1"/>
  <c r="J15" i="5" s="1"/>
  <c r="I15" i="5" a="1"/>
  <c r="I15" i="5" s="1"/>
  <c r="J142" i="7" s="1"/>
  <c r="H15" i="5" a="1"/>
  <c r="H15" i="5" s="1"/>
  <c r="I142" i="7" s="1"/>
  <c r="L8" i="5" a="1"/>
  <c r="L8" i="5" s="1"/>
  <c r="K8" i="5" a="1"/>
  <c r="K8" i="5" s="1"/>
  <c r="L126" i="8" s="1"/>
  <c r="J8" i="5" a="1"/>
  <c r="J8" i="5" s="1"/>
  <c r="K126" i="8" s="1"/>
  <c r="I8" i="5" a="1"/>
  <c r="I8" i="5" s="1"/>
  <c r="J126" i="8" s="1"/>
  <c r="H8" i="5" a="1"/>
  <c r="H8" i="5" s="1"/>
  <c r="I126" i="8" s="1"/>
  <c r="I5" i="8"/>
  <c r="I41" i="8" s="1"/>
  <c r="J5" i="8"/>
  <c r="J77" i="8" s="1"/>
  <c r="B6" i="8" a="1"/>
  <c r="B6" i="8" s="1"/>
  <c r="I8" i="8"/>
  <c r="I165" i="8" s="1"/>
  <c r="I170" i="8" s="1"/>
  <c r="J8" i="8"/>
  <c r="J165" i="8" s="1"/>
  <c r="K8" i="8"/>
  <c r="K165" i="8" s="1"/>
  <c r="L8" i="8"/>
  <c r="L165" i="8" s="1"/>
  <c r="M8" i="8"/>
  <c r="M165" i="8" s="1"/>
  <c r="I69" i="8"/>
  <c r="F114" i="8"/>
  <c r="G114" i="8"/>
  <c r="H114" i="8"/>
  <c r="G126" i="8"/>
  <c r="H126" i="8"/>
  <c r="I129" i="8"/>
  <c r="J129" i="8"/>
  <c r="K129" i="8" s="1"/>
  <c r="L129" i="8" s="1"/>
  <c r="M129" i="8" s="1"/>
  <c r="F130" i="8"/>
  <c r="F155" i="8" s="1"/>
  <c r="G130" i="8"/>
  <c r="G155" i="8" s="1"/>
  <c r="H130" i="8"/>
  <c r="H155" i="8" s="1"/>
  <c r="I136" i="8"/>
  <c r="I206" i="8" s="1"/>
  <c r="J136" i="8"/>
  <c r="J206" i="8" s="1"/>
  <c r="F137" i="8"/>
  <c r="F138" i="8" s="1"/>
  <c r="F149" i="8" s="1"/>
  <c r="F164" i="8" s="1"/>
  <c r="G137" i="8"/>
  <c r="G138" i="8" s="1"/>
  <c r="G149" i="8" s="1"/>
  <c r="G164" i="8" s="1"/>
  <c r="G173" i="8" s="1"/>
  <c r="H137" i="8"/>
  <c r="H138" i="8" s="1"/>
  <c r="H149" i="8" s="1"/>
  <c r="H164" i="8" s="1"/>
  <c r="G143" i="8"/>
  <c r="H143" i="8"/>
  <c r="F150" i="8"/>
  <c r="G150" i="8"/>
  <c r="H150" i="8"/>
  <c r="I161" i="8"/>
  <c r="F165" i="8"/>
  <c r="G165" i="8"/>
  <c r="H165" i="8"/>
  <c r="F171" i="8"/>
  <c r="F191" i="8" s="1"/>
  <c r="G171" i="8"/>
  <c r="G191" i="8" s="1"/>
  <c r="H171" i="8"/>
  <c r="H191" i="8" s="1"/>
  <c r="F186" i="8"/>
  <c r="F196" i="8" s="1"/>
  <c r="G186" i="8"/>
  <c r="G196" i="8" s="1"/>
  <c r="H186" i="8"/>
  <c r="H196" i="8" s="1"/>
  <c r="F206" i="8"/>
  <c r="G206" i="8"/>
  <c r="H206" i="8"/>
  <c r="F207" i="8"/>
  <c r="G207" i="8"/>
  <c r="H207" i="8"/>
  <c r="F208" i="8"/>
  <c r="G208" i="8"/>
  <c r="H208" i="8"/>
  <c r="I212" i="8"/>
  <c r="J212" i="8"/>
  <c r="K212" i="8"/>
  <c r="L212" i="8"/>
  <c r="M212" i="8"/>
  <c r="I213" i="8"/>
  <c r="J213" i="8"/>
  <c r="K213" i="8"/>
  <c r="L213" i="8"/>
  <c r="M213" i="8"/>
  <c r="I214" i="8"/>
  <c r="J214" i="8"/>
  <c r="K214" i="8"/>
  <c r="L214" i="8"/>
  <c r="M214" i="8"/>
  <c r="F218" i="8"/>
  <c r="G218" i="8"/>
  <c r="H218" i="8"/>
  <c r="F219" i="8"/>
  <c r="G219" i="8"/>
  <c r="H219" i="8"/>
  <c r="F220" i="8"/>
  <c r="G220" i="8"/>
  <c r="H220" i="8"/>
  <c r="G226" i="8"/>
  <c r="H226" i="8"/>
  <c r="G228" i="8"/>
  <c r="D244" i="8"/>
  <c r="I245" i="8" s="1"/>
  <c r="J244" i="8"/>
  <c r="K244" i="8" s="1"/>
  <c r="L244" i="8" s="1"/>
  <c r="M244" i="8" s="1"/>
  <c r="D245" i="8"/>
  <c r="D250" i="8"/>
  <c r="G251" i="8" s="1"/>
  <c r="D251" i="8"/>
  <c r="I250" i="8" s="1"/>
  <c r="I251" i="8"/>
  <c r="I252" i="8"/>
  <c r="J253" i="8" s="1"/>
  <c r="K254" i="8" s="1"/>
  <c r="J252" i="8"/>
  <c r="K253" i="8" s="1"/>
  <c r="L254" i="8" s="1"/>
  <c r="I253" i="8"/>
  <c r="J254" i="8" s="1"/>
  <c r="I254" i="8"/>
  <c r="D286" i="8"/>
  <c r="D287" i="8"/>
  <c r="H294" i="8"/>
  <c r="I291" i="8" s="1"/>
  <c r="H301" i="8"/>
  <c r="I298" i="8" s="1"/>
  <c r="D316" i="8"/>
  <c r="H335" i="8"/>
  <c r="I332" i="8" s="1"/>
  <c r="H360" i="8"/>
  <c r="I362" i="8"/>
  <c r="J362" i="8" s="1"/>
  <c r="K362" i="8" s="1"/>
  <c r="L362" i="8" s="1"/>
  <c r="M362" i="8" s="1"/>
  <c r="F363" i="8"/>
  <c r="U363" i="8" s="1"/>
  <c r="I371" i="8"/>
  <c r="J371" i="8"/>
  <c r="K371" i="8"/>
  <c r="L371" i="8"/>
  <c r="M371" i="8"/>
  <c r="H372" i="8"/>
  <c r="I374" i="8"/>
  <c r="J374" i="8" s="1"/>
  <c r="K374" i="8" s="1"/>
  <c r="L374" i="8" s="1"/>
  <c r="M374" i="8" s="1"/>
  <c r="I389" i="8"/>
  <c r="H404" i="8"/>
  <c r="I406" i="8"/>
  <c r="J406" i="8" s="1"/>
  <c r="K406" i="8" s="1"/>
  <c r="L406" i="8" s="1"/>
  <c r="M406" i="8" s="1"/>
  <c r="F407" i="8"/>
  <c r="U407" i="8" s="1"/>
  <c r="I428" i="8"/>
  <c r="J428" i="8"/>
  <c r="K428" i="8"/>
  <c r="L428" i="8"/>
  <c r="M428" i="8"/>
  <c r="H429" i="8"/>
  <c r="I432" i="8"/>
  <c r="J432" i="8" s="1"/>
  <c r="K432" i="8" s="1"/>
  <c r="L432" i="8" s="1"/>
  <c r="M432" i="8" s="1"/>
  <c r="H443" i="8"/>
  <c r="I4" i="7"/>
  <c r="I309" i="7" s="1"/>
  <c r="B5" i="7" a="1"/>
  <c r="B5" i="7" s="1"/>
  <c r="B120" i="7" s="1"/>
  <c r="I7" i="7"/>
  <c r="I164" i="7" s="1"/>
  <c r="J7" i="7"/>
  <c r="J164" i="7" s="1"/>
  <c r="K7" i="7"/>
  <c r="K164" i="7" s="1"/>
  <c r="L7" i="7"/>
  <c r="L164" i="7" s="1"/>
  <c r="M7" i="7"/>
  <c r="M164" i="7" s="1"/>
  <c r="F113" i="7"/>
  <c r="G113" i="7"/>
  <c r="H113" i="7"/>
  <c r="G125" i="7"/>
  <c r="H125" i="7"/>
  <c r="I128" i="7"/>
  <c r="J128" i="7" s="1"/>
  <c r="K128" i="7" s="1"/>
  <c r="L128" i="7" s="1"/>
  <c r="M128" i="7" s="1"/>
  <c r="F129" i="7"/>
  <c r="F154" i="7" s="1"/>
  <c r="G129" i="7"/>
  <c r="G154" i="7" s="1"/>
  <c r="H129" i="7"/>
  <c r="H154" i="7" s="1"/>
  <c r="I135" i="7"/>
  <c r="I205" i="7" s="1"/>
  <c r="F136" i="7"/>
  <c r="G136" i="7"/>
  <c r="G137" i="7" s="1"/>
  <c r="G148" i="7" s="1"/>
  <c r="H136" i="7"/>
  <c r="H137" i="7" s="1"/>
  <c r="H148" i="7" s="1"/>
  <c r="H163" i="7" s="1"/>
  <c r="H180" i="7" s="1"/>
  <c r="F137" i="7"/>
  <c r="F148" i="7" s="1"/>
  <c r="F163" i="7" s="1"/>
  <c r="F179" i="7" s="1"/>
  <c r="G142" i="7"/>
  <c r="H142" i="7"/>
  <c r="F149" i="7"/>
  <c r="G149" i="7"/>
  <c r="H149" i="7"/>
  <c r="F164" i="7"/>
  <c r="G164" i="7"/>
  <c r="H164" i="7"/>
  <c r="F170" i="7"/>
  <c r="F190" i="7" s="1"/>
  <c r="G170" i="7"/>
  <c r="G190" i="7" s="1"/>
  <c r="H170" i="7"/>
  <c r="H190" i="7" s="1"/>
  <c r="F185" i="7"/>
  <c r="F195" i="7" s="1"/>
  <c r="G185" i="7"/>
  <c r="G195" i="7" s="1"/>
  <c r="H185" i="7"/>
  <c r="H195" i="7" s="1"/>
  <c r="F205" i="7"/>
  <c r="G205" i="7"/>
  <c r="H205" i="7"/>
  <c r="F206" i="7"/>
  <c r="G206" i="7"/>
  <c r="H206" i="7"/>
  <c r="F207" i="7"/>
  <c r="G207" i="7"/>
  <c r="H207" i="7"/>
  <c r="I211" i="7"/>
  <c r="J211" i="7"/>
  <c r="K211" i="7"/>
  <c r="L211" i="7"/>
  <c r="M211" i="7"/>
  <c r="I212" i="7"/>
  <c r="J212" i="7"/>
  <c r="K212" i="7"/>
  <c r="L212" i="7"/>
  <c r="M212" i="7"/>
  <c r="I213" i="7"/>
  <c r="J213" i="7"/>
  <c r="K213" i="7"/>
  <c r="L213" i="7"/>
  <c r="M213" i="7"/>
  <c r="F217" i="7"/>
  <c r="G217" i="7"/>
  <c r="H217" i="7"/>
  <c r="F218" i="7"/>
  <c r="G218" i="7"/>
  <c r="H218" i="7"/>
  <c r="F219" i="7"/>
  <c r="G219" i="7"/>
  <c r="H219" i="7"/>
  <c r="D243" i="7"/>
  <c r="I244" i="7" s="1"/>
  <c r="J244" i="7" s="1"/>
  <c r="J243" i="7"/>
  <c r="K243" i="7" s="1"/>
  <c r="L243" i="7" s="1"/>
  <c r="M243" i="7" s="1"/>
  <c r="D244" i="7"/>
  <c r="D249" i="7"/>
  <c r="G251" i="7" s="1"/>
  <c r="D250" i="7"/>
  <c r="I249" i="7" s="1"/>
  <c r="I250" i="7"/>
  <c r="J251" i="7" s="1"/>
  <c r="K252" i="7" s="1"/>
  <c r="L253" i="7" s="1"/>
  <c r="I251" i="7"/>
  <c r="I252" i="7"/>
  <c r="J253" i="7" s="1"/>
  <c r="J252" i="7"/>
  <c r="K253" i="7" s="1"/>
  <c r="I253" i="7"/>
  <c r="D285" i="7"/>
  <c r="D286" i="7"/>
  <c r="H293" i="7"/>
  <c r="I290" i="7" s="1"/>
  <c r="H300" i="7"/>
  <c r="I297" i="7" s="1"/>
  <c r="D315" i="7"/>
  <c r="H334" i="7"/>
  <c r="I331" i="7" s="1"/>
  <c r="I361" i="7"/>
  <c r="J361" i="7" s="1"/>
  <c r="K361" i="7" s="1"/>
  <c r="L361" i="7" s="1"/>
  <c r="M361" i="7" s="1"/>
  <c r="I370" i="7"/>
  <c r="I61" i="8" s="1"/>
  <c r="I373" i="7"/>
  <c r="J373" i="7" s="1"/>
  <c r="K373" i="7" s="1"/>
  <c r="L373" i="7" s="1"/>
  <c r="M373" i="7" s="1"/>
  <c r="I405" i="7"/>
  <c r="J405" i="7" s="1"/>
  <c r="K405" i="7" s="1"/>
  <c r="L405" i="7" s="1"/>
  <c r="M405" i="7" s="1"/>
  <c r="I427" i="7"/>
  <c r="I431" i="7"/>
  <c r="H5" i="6"/>
  <c r="I5" i="6" s="1"/>
  <c r="J5" i="6" s="1"/>
  <c r="K5" i="6" s="1"/>
  <c r="L5" i="6" s="1"/>
  <c r="H10" i="6" a="1"/>
  <c r="H10" i="6" s="1"/>
  <c r="I10" i="6" a="1"/>
  <c r="I10" i="6" s="1"/>
  <c r="J10" i="6" a="1"/>
  <c r="J10" i="6" s="1"/>
  <c r="K10" i="6" a="1"/>
  <c r="K10" i="6" s="1"/>
  <c r="L10" i="6" a="1"/>
  <c r="L10" i="6" s="1"/>
  <c r="H17" i="6" a="1"/>
  <c r="H17" i="6" s="1"/>
  <c r="I17" i="6" a="1"/>
  <c r="I17" i="6" s="1"/>
  <c r="J17" i="6" a="1"/>
  <c r="J17" i="6" s="1"/>
  <c r="K17" i="6" a="1"/>
  <c r="K17" i="6" s="1"/>
  <c r="L17" i="6" a="1"/>
  <c r="L17" i="6" s="1"/>
  <c r="B19" i="6"/>
  <c r="B20" i="6"/>
  <c r="B21" i="6"/>
  <c r="H24" i="6" a="1"/>
  <c r="H24" i="6" s="1"/>
  <c r="I24" i="6" a="1"/>
  <c r="I24" i="6" s="1"/>
  <c r="J24" i="6" a="1"/>
  <c r="J24" i="6" s="1"/>
  <c r="K24" i="6" a="1"/>
  <c r="K24" i="6" s="1"/>
  <c r="L24" i="6" a="1"/>
  <c r="L24" i="6" s="1"/>
  <c r="B26" i="6"/>
  <c r="B27" i="6"/>
  <c r="B28" i="6"/>
  <c r="H35" i="6"/>
  <c r="I35" i="6" s="1"/>
  <c r="J35" i="6" s="1"/>
  <c r="K35" i="6" s="1"/>
  <c r="L35" i="6" s="1"/>
  <c r="H3" i="5"/>
  <c r="I3" i="5" s="1"/>
  <c r="J3" i="5" s="1"/>
  <c r="K3" i="5" s="1"/>
  <c r="L3" i="5" s="1"/>
  <c r="B17" i="5"/>
  <c r="B18" i="5"/>
  <c r="B19" i="5"/>
  <c r="B24" i="5"/>
  <c r="B25" i="5"/>
  <c r="B26" i="5"/>
  <c r="H33" i="5"/>
  <c r="I33" i="5" s="1"/>
  <c r="J33" i="5" s="1"/>
  <c r="K33" i="5" s="1"/>
  <c r="L33" i="5" s="1"/>
  <c r="K5" i="4"/>
  <c r="H11" i="4"/>
  <c r="I11" i="4"/>
  <c r="J11" i="4"/>
  <c r="H13" i="4"/>
  <c r="I13" i="4"/>
  <c r="J13" i="4"/>
  <c r="H16" i="4"/>
  <c r="I16" i="4"/>
  <c r="J16" i="4"/>
  <c r="H22" i="4"/>
  <c r="I22" i="4"/>
  <c r="J22" i="4"/>
  <c r="H23" i="4"/>
  <c r="I23" i="4"/>
  <c r="J23" i="4"/>
  <c r="H24" i="4"/>
  <c r="I24" i="4"/>
  <c r="J24" i="4"/>
  <c r="K4" i="3"/>
  <c r="J4" i="3" s="1"/>
  <c r="I4" i="3" s="1"/>
  <c r="H4" i="3" s="1"/>
  <c r="H10" i="3"/>
  <c r="I10" i="3"/>
  <c r="J10" i="3"/>
  <c r="H12" i="3"/>
  <c r="I12" i="3"/>
  <c r="J12" i="3"/>
  <c r="H15" i="3"/>
  <c r="I15" i="3"/>
  <c r="J15" i="3"/>
  <c r="H21" i="3"/>
  <c r="I21" i="3"/>
  <c r="J21" i="3"/>
  <c r="H22" i="3"/>
  <c r="I22" i="3"/>
  <c r="J22" i="3"/>
  <c r="H23" i="3"/>
  <c r="I23" i="3"/>
  <c r="J23" i="3"/>
  <c r="J239" i="7" l="1"/>
  <c r="J283" i="7" s="1"/>
  <c r="J291" i="7" s="1"/>
  <c r="J298" i="7" s="1"/>
  <c r="K239" i="7"/>
  <c r="L239" i="7"/>
  <c r="I125" i="7"/>
  <c r="L125" i="7"/>
  <c r="K125" i="7"/>
  <c r="J125" i="7"/>
  <c r="J55" i="7"/>
  <c r="J56" i="7" s="1"/>
  <c r="J390" i="7" s="1"/>
  <c r="M142" i="7"/>
  <c r="K55" i="7"/>
  <c r="K56" i="7" s="1"/>
  <c r="K390" i="7" s="1"/>
  <c r="M55" i="7"/>
  <c r="M56" i="7" s="1"/>
  <c r="M390" i="7" s="1"/>
  <c r="G249" i="7"/>
  <c r="I428" i="7"/>
  <c r="J426" i="7" s="1"/>
  <c r="J428" i="7" s="1"/>
  <c r="I15" i="7"/>
  <c r="J15" i="7" s="1"/>
  <c r="K15" i="7" s="1"/>
  <c r="L15" i="7" s="1"/>
  <c r="M15" i="7" s="1"/>
  <c r="G211" i="7"/>
  <c r="I16" i="7"/>
  <c r="J16" i="7" s="1"/>
  <c r="K16" i="7" s="1"/>
  <c r="L16" i="7" s="1"/>
  <c r="M16" i="7" s="1"/>
  <c r="I401" i="7"/>
  <c r="I369" i="7"/>
  <c r="I352" i="8"/>
  <c r="I280" i="7"/>
  <c r="I119" i="7"/>
  <c r="I76" i="7"/>
  <c r="G253" i="8"/>
  <c r="J421" i="8"/>
  <c r="I421" i="8"/>
  <c r="G212" i="7"/>
  <c r="F212" i="7"/>
  <c r="G252" i="8"/>
  <c r="J135" i="7"/>
  <c r="K135" i="7" s="1"/>
  <c r="L135" i="7" s="1"/>
  <c r="M135" i="7" s="1"/>
  <c r="M205" i="7" s="1"/>
  <c r="G250" i="8"/>
  <c r="G150" i="7"/>
  <c r="J14" i="4"/>
  <c r="I351" i="7"/>
  <c r="I184" i="8"/>
  <c r="J184" i="8" s="1"/>
  <c r="K184" i="8" s="1"/>
  <c r="L184" i="8" s="1"/>
  <c r="F212" i="8"/>
  <c r="J161" i="8"/>
  <c r="F213" i="8"/>
  <c r="G163" i="7"/>
  <c r="F150" i="7"/>
  <c r="J25" i="4"/>
  <c r="F173" i="7"/>
  <c r="F180" i="7"/>
  <c r="F181" i="7" s="1"/>
  <c r="F191" i="7" s="1"/>
  <c r="F192" i="7" s="1"/>
  <c r="F172" i="7"/>
  <c r="I25" i="4"/>
  <c r="B162" i="8"/>
  <c r="B204" i="8"/>
  <c r="B311" i="8"/>
  <c r="B121" i="8"/>
  <c r="M126" i="8"/>
  <c r="Q126" i="8" s="1"/>
  <c r="J310" i="8"/>
  <c r="J203" i="8"/>
  <c r="I383" i="8"/>
  <c r="J237" i="8"/>
  <c r="J249" i="8" s="1"/>
  <c r="I237" i="8"/>
  <c r="F250" i="8" s="1"/>
  <c r="P24" i="6"/>
  <c r="J383" i="8"/>
  <c r="L4" i="3"/>
  <c r="M4" i="3" s="1"/>
  <c r="N4" i="3" s="1"/>
  <c r="O4" i="3" s="1"/>
  <c r="J4" i="7"/>
  <c r="J119" i="7" s="1"/>
  <c r="I120" i="8"/>
  <c r="J240" i="8"/>
  <c r="J284" i="8" s="1"/>
  <c r="J292" i="8" s="1"/>
  <c r="J299" i="8" s="1"/>
  <c r="B421" i="7"/>
  <c r="I281" i="8"/>
  <c r="I77" i="8"/>
  <c r="J281" i="8"/>
  <c r="I420" i="7"/>
  <c r="J41" i="8"/>
  <c r="K136" i="8"/>
  <c r="K206" i="8" s="1"/>
  <c r="I427" i="8"/>
  <c r="L56" i="8"/>
  <c r="L240" i="8"/>
  <c r="L284" i="8" s="1"/>
  <c r="L292" i="8" s="1"/>
  <c r="L299" i="8" s="1"/>
  <c r="L283" i="7"/>
  <c r="L291" i="7" s="1"/>
  <c r="L298" i="7" s="1"/>
  <c r="M240" i="8"/>
  <c r="M284" i="8" s="1"/>
  <c r="M292" i="8" s="1"/>
  <c r="M299" i="8" s="1"/>
  <c r="M56" i="8"/>
  <c r="M283" i="7"/>
  <c r="I240" i="8"/>
  <c r="H173" i="8"/>
  <c r="H180" i="8"/>
  <c r="H151" i="8"/>
  <c r="G151" i="8"/>
  <c r="I185" i="8"/>
  <c r="J185" i="8" s="1"/>
  <c r="G212" i="8"/>
  <c r="J120" i="8"/>
  <c r="F211" i="7"/>
  <c r="H14" i="4"/>
  <c r="G225" i="7"/>
  <c r="H25" i="4"/>
  <c r="I17" i="4"/>
  <c r="G226" i="7"/>
  <c r="F213" i="7"/>
  <c r="K56" i="6"/>
  <c r="K55" i="6"/>
  <c r="J251" i="8"/>
  <c r="K252" i="8" s="1"/>
  <c r="L253" i="8" s="1"/>
  <c r="M254" i="8" s="1"/>
  <c r="J250" i="8"/>
  <c r="K251" i="8" s="1"/>
  <c r="L252" i="8" s="1"/>
  <c r="M253" i="8" s="1"/>
  <c r="K393" i="8"/>
  <c r="G252" i="7"/>
  <c r="J393" i="8"/>
  <c r="M392" i="8"/>
  <c r="K54" i="5"/>
  <c r="K392" i="8"/>
  <c r="M61" i="8"/>
  <c r="G253" i="7"/>
  <c r="J392" i="8"/>
  <c r="L61" i="8"/>
  <c r="K5" i="8"/>
  <c r="K161" i="8" s="1"/>
  <c r="B310" i="7"/>
  <c r="I392" i="8"/>
  <c r="K53" i="5"/>
  <c r="G250" i="7"/>
  <c r="J352" i="8"/>
  <c r="J245" i="8"/>
  <c r="J269" i="8" s="1"/>
  <c r="K245" i="8"/>
  <c r="K269" i="8" s="1"/>
  <c r="H213" i="7"/>
  <c r="H227" i="7"/>
  <c r="I429" i="8"/>
  <c r="G213" i="8"/>
  <c r="G227" i="8"/>
  <c r="G229" i="8" s="1"/>
  <c r="P10" i="6"/>
  <c r="I268" i="7"/>
  <c r="J268" i="7"/>
  <c r="J431" i="7"/>
  <c r="I168" i="7"/>
  <c r="I184" i="7"/>
  <c r="I169" i="7"/>
  <c r="I183" i="7"/>
  <c r="F174" i="8"/>
  <c r="F181" i="8"/>
  <c r="F180" i="8"/>
  <c r="F182" i="8" s="1"/>
  <c r="F192" i="8" s="1"/>
  <c r="F193" i="8" s="1"/>
  <c r="F173" i="8"/>
  <c r="I269" i="8"/>
  <c r="G227" i="7"/>
  <c r="G213" i="7"/>
  <c r="P17" i="6"/>
  <c r="J143" i="8"/>
  <c r="H227" i="8"/>
  <c r="H179" i="7"/>
  <c r="H181" i="7" s="1"/>
  <c r="H191" i="7" s="1"/>
  <c r="H192" i="7" s="1"/>
  <c r="H173" i="7"/>
  <c r="L5" i="4"/>
  <c r="M5" i="4" s="1"/>
  <c r="N5" i="4" s="1"/>
  <c r="O5" i="4" s="1"/>
  <c r="J5" i="4"/>
  <c r="I5" i="4" s="1"/>
  <c r="H5" i="4" s="1"/>
  <c r="H212" i="7"/>
  <c r="H226" i="7"/>
  <c r="L143" i="8"/>
  <c r="I393" i="8"/>
  <c r="I63" i="8"/>
  <c r="K143" i="8"/>
  <c r="H172" i="7"/>
  <c r="H213" i="8"/>
  <c r="O17" i="6"/>
  <c r="I143" i="8"/>
  <c r="I372" i="8"/>
  <c r="I14" i="4"/>
  <c r="M57" i="8"/>
  <c r="I128" i="8"/>
  <c r="T363" i="8"/>
  <c r="V363" i="8" s="1"/>
  <c r="F151" i="8"/>
  <c r="J17" i="4"/>
  <c r="T407" i="8"/>
  <c r="V407" i="8" s="1"/>
  <c r="J170" i="8"/>
  <c r="K244" i="7"/>
  <c r="K268" i="7" s="1"/>
  <c r="B78" i="8"/>
  <c r="B282" i="8"/>
  <c r="B353" i="8"/>
  <c r="B238" i="8"/>
  <c r="H211" i="7"/>
  <c r="H17" i="4"/>
  <c r="I358" i="8"/>
  <c r="H150" i="7"/>
  <c r="I283" i="7"/>
  <c r="G254" i="8"/>
  <c r="G214" i="8"/>
  <c r="I169" i="8"/>
  <c r="H174" i="8"/>
  <c r="H175" i="8" s="1"/>
  <c r="H195" i="8" s="1"/>
  <c r="H197" i="8" s="1"/>
  <c r="H181" i="8"/>
  <c r="H182" i="8" s="1"/>
  <c r="H192" i="8" s="1"/>
  <c r="H193" i="8" s="1"/>
  <c r="O24" i="6"/>
  <c r="I17" i="8"/>
  <c r="I16" i="8"/>
  <c r="B41" i="7"/>
  <c r="B161" i="7"/>
  <c r="B281" i="7"/>
  <c r="B383" i="7"/>
  <c r="B352" i="7"/>
  <c r="B77" i="7"/>
  <c r="B203" i="7"/>
  <c r="K56" i="8"/>
  <c r="J250" i="7"/>
  <c r="K251" i="7" s="1"/>
  <c r="L252" i="7" s="1"/>
  <c r="M253" i="7" s="1"/>
  <c r="J249" i="7"/>
  <c r="B384" i="8"/>
  <c r="O10" i="6"/>
  <c r="B237" i="7"/>
  <c r="H228" i="8"/>
  <c r="H214" i="8"/>
  <c r="I56" i="8"/>
  <c r="B422" i="8"/>
  <c r="I249" i="8"/>
  <c r="F214" i="8"/>
  <c r="G174" i="8"/>
  <c r="G175" i="8" s="1"/>
  <c r="G195" i="8" s="1"/>
  <c r="G197" i="8" s="1"/>
  <c r="G181" i="8"/>
  <c r="G180" i="8"/>
  <c r="G182" i="8" s="1"/>
  <c r="G192" i="8" s="1"/>
  <c r="G193" i="8" s="1"/>
  <c r="B42" i="8"/>
  <c r="M393" i="8"/>
  <c r="M63" i="8"/>
  <c r="H225" i="7"/>
  <c r="L393" i="8"/>
  <c r="L63" i="8"/>
  <c r="I382" i="7"/>
  <c r="I160" i="7"/>
  <c r="I236" i="7"/>
  <c r="H4" i="7"/>
  <c r="I40" i="7"/>
  <c r="I440" i="8"/>
  <c r="I202" i="7"/>
  <c r="H212" i="8"/>
  <c r="I203" i="8"/>
  <c r="H5" i="8"/>
  <c r="I310" i="8"/>
  <c r="I105" i="7" l="1"/>
  <c r="F174" i="7"/>
  <c r="F194" i="7" s="1"/>
  <c r="F196" i="7" s="1"/>
  <c r="K426" i="7"/>
  <c r="K428" i="7" s="1"/>
  <c r="J105" i="7"/>
  <c r="I371" i="7"/>
  <c r="I374" i="7"/>
  <c r="J186" i="8"/>
  <c r="J196" i="8" s="1"/>
  <c r="Q24" i="6" a="1"/>
  <c r="Q24" i="6" s="1"/>
  <c r="J205" i="7"/>
  <c r="K205" i="7"/>
  <c r="L205" i="7"/>
  <c r="I258" i="8"/>
  <c r="Q61" i="8"/>
  <c r="K185" i="8"/>
  <c r="K186" i="8" s="1"/>
  <c r="K196" i="8" s="1"/>
  <c r="J202" i="7"/>
  <c r="Q240" i="8"/>
  <c r="I186" i="8"/>
  <c r="I196" i="8" s="1"/>
  <c r="K250" i="8"/>
  <c r="L251" i="8" s="1"/>
  <c r="M252" i="8" s="1"/>
  <c r="F175" i="8"/>
  <c r="F195" i="8" s="1"/>
  <c r="F197" i="8" s="1"/>
  <c r="L245" i="8"/>
  <c r="L269" i="8" s="1"/>
  <c r="J280" i="7"/>
  <c r="Q392" i="8"/>
  <c r="L244" i="7"/>
  <c r="G228" i="7"/>
  <c r="G179" i="7"/>
  <c r="G173" i="7"/>
  <c r="G172" i="7"/>
  <c r="G180" i="7"/>
  <c r="Q10" i="6" a="1"/>
  <c r="Q10" i="6" s="1"/>
  <c r="I284" i="8"/>
  <c r="I292" i="8" s="1"/>
  <c r="I299" i="8" s="1"/>
  <c r="Q17" i="6" a="1"/>
  <c r="Q17" i="6" s="1"/>
  <c r="J351" i="7"/>
  <c r="J420" i="7"/>
  <c r="J258" i="8"/>
  <c r="J309" i="7"/>
  <c r="J160" i="7"/>
  <c r="J236" i="7"/>
  <c r="J257" i="7" s="1"/>
  <c r="J40" i="7"/>
  <c r="K4" i="7"/>
  <c r="K160" i="7" s="1"/>
  <c r="L136" i="8"/>
  <c r="M136" i="8" s="1"/>
  <c r="M206" i="8" s="1"/>
  <c r="J76" i="7"/>
  <c r="J382" i="7"/>
  <c r="L57" i="8"/>
  <c r="M291" i="7"/>
  <c r="M298" i="7" s="1"/>
  <c r="H229" i="8"/>
  <c r="P61" i="8"/>
  <c r="K77" i="8"/>
  <c r="K203" i="8"/>
  <c r="K421" i="8"/>
  <c r="K383" i="8"/>
  <c r="K352" i="8"/>
  <c r="K310" i="8"/>
  <c r="K120" i="8"/>
  <c r="K237" i="8"/>
  <c r="K41" i="8"/>
  <c r="L5" i="8"/>
  <c r="K281" i="8"/>
  <c r="H174" i="7"/>
  <c r="H194" i="7" s="1"/>
  <c r="H196" i="7" s="1"/>
  <c r="J169" i="7"/>
  <c r="I257" i="7"/>
  <c r="I248" i="7"/>
  <c r="F249" i="7"/>
  <c r="I170" i="7"/>
  <c r="I190" i="7" s="1"/>
  <c r="J168" i="7"/>
  <c r="J57" i="8"/>
  <c r="J169" i="8"/>
  <c r="I171" i="8"/>
  <c r="I191" i="8" s="1"/>
  <c r="Q63" i="8"/>
  <c r="K170" i="8"/>
  <c r="Q56" i="8"/>
  <c r="I130" i="8"/>
  <c r="I155" i="8" s="1"/>
  <c r="J128" i="8"/>
  <c r="I137" i="8"/>
  <c r="I138" i="8" s="1"/>
  <c r="I149" i="8" s="1"/>
  <c r="P63" i="8"/>
  <c r="I127" i="7"/>
  <c r="P126" i="8"/>
  <c r="R126" i="8" s="1" a="1"/>
  <c r="R126" i="8" s="1"/>
  <c r="J16" i="8"/>
  <c r="K16" i="8" s="1"/>
  <c r="L16" i="8" s="1"/>
  <c r="M16" i="8" s="1"/>
  <c r="P143" i="8"/>
  <c r="I143" i="7"/>
  <c r="G5" i="8"/>
  <c r="H310" i="8"/>
  <c r="H352" i="8"/>
  <c r="H421" i="8"/>
  <c r="H203" i="8"/>
  <c r="H281" i="8"/>
  <c r="H161" i="8"/>
  <c r="H237" i="8"/>
  <c r="C245" i="8" s="1"/>
  <c r="H120" i="8"/>
  <c r="H41" i="8"/>
  <c r="H383" i="8"/>
  <c r="H77" i="8"/>
  <c r="K250" i="7"/>
  <c r="L251" i="7" s="1"/>
  <c r="M252" i="7" s="1"/>
  <c r="K249" i="7"/>
  <c r="I291" i="7"/>
  <c r="J183" i="7"/>
  <c r="I185" i="7"/>
  <c r="I195" i="7" s="1"/>
  <c r="H309" i="7"/>
  <c r="H160" i="7"/>
  <c r="H236" i="7"/>
  <c r="C244" i="7" s="1"/>
  <c r="G4" i="7"/>
  <c r="H202" i="7"/>
  <c r="H40" i="7"/>
  <c r="H351" i="7"/>
  <c r="H382" i="7"/>
  <c r="H280" i="7"/>
  <c r="H420" i="7"/>
  <c r="H119" i="7"/>
  <c r="H76" i="7"/>
  <c r="M391" i="8"/>
  <c r="O23" i="4"/>
  <c r="O22" i="3"/>
  <c r="J184" i="7"/>
  <c r="K283" i="7"/>
  <c r="P240" i="8"/>
  <c r="R240" i="8" s="1" a="1"/>
  <c r="R240" i="8" s="1"/>
  <c r="J427" i="8"/>
  <c r="I106" i="8"/>
  <c r="P392" i="8"/>
  <c r="Q393" i="8"/>
  <c r="K431" i="7"/>
  <c r="F251" i="8"/>
  <c r="F259" i="8"/>
  <c r="M184" i="8"/>
  <c r="H228" i="7"/>
  <c r="J17" i="8"/>
  <c r="K17" i="8" s="1"/>
  <c r="L17" i="8" s="1"/>
  <c r="M17" i="8" s="1"/>
  <c r="Q143" i="8"/>
  <c r="I144" i="8"/>
  <c r="G174" i="7" l="1"/>
  <c r="G194" i="7" s="1"/>
  <c r="G196" i="7" s="1"/>
  <c r="R392" i="8" a="1"/>
  <c r="R392" i="8" s="1"/>
  <c r="R61" i="8" a="1"/>
  <c r="R61" i="8" s="1"/>
  <c r="J369" i="7"/>
  <c r="I99" i="7"/>
  <c r="J370" i="8"/>
  <c r="I375" i="8"/>
  <c r="I100" i="8"/>
  <c r="L426" i="7"/>
  <c r="L428" i="7" s="1"/>
  <c r="K105" i="7"/>
  <c r="L185" i="8"/>
  <c r="L186" i="8" s="1"/>
  <c r="L196" i="8" s="1"/>
  <c r="K236" i="7"/>
  <c r="K257" i="7" s="1"/>
  <c r="K40" i="7"/>
  <c r="L250" i="8"/>
  <c r="M250" i="8" s="1"/>
  <c r="M245" i="8"/>
  <c r="M269" i="8" s="1"/>
  <c r="J248" i="7"/>
  <c r="L268" i="7"/>
  <c r="M244" i="7"/>
  <c r="M268" i="7" s="1"/>
  <c r="L4" i="7"/>
  <c r="L420" i="7" s="1"/>
  <c r="R63" i="8" a="1"/>
  <c r="R63" i="8" s="1"/>
  <c r="K76" i="7"/>
  <c r="G181" i="7"/>
  <c r="G191" i="7" s="1"/>
  <c r="G192" i="7" s="1"/>
  <c r="K382" i="7"/>
  <c r="K202" i="7"/>
  <c r="K280" i="7"/>
  <c r="Q16" i="8"/>
  <c r="K309" i="7"/>
  <c r="R143" i="8" a="1"/>
  <c r="R143" i="8" s="1"/>
  <c r="K351" i="7"/>
  <c r="K119" i="7"/>
  <c r="K420" i="7"/>
  <c r="L206" i="8"/>
  <c r="N23" i="4"/>
  <c r="L391" i="8"/>
  <c r="N22" i="3"/>
  <c r="L203" i="8"/>
  <c r="L383" i="8"/>
  <c r="L352" i="8"/>
  <c r="L120" i="8"/>
  <c r="L310" i="8"/>
  <c r="L237" i="8"/>
  <c r="L41" i="8"/>
  <c r="M5" i="8"/>
  <c r="L77" i="8"/>
  <c r="L281" i="8"/>
  <c r="L161" i="8"/>
  <c r="L421" i="8"/>
  <c r="K249" i="8"/>
  <c r="K258" i="8"/>
  <c r="I150" i="8"/>
  <c r="I151" i="8" s="1"/>
  <c r="J144" i="8"/>
  <c r="I164" i="8"/>
  <c r="K184" i="7"/>
  <c r="F5" i="8"/>
  <c r="G203" i="8"/>
  <c r="G120" i="8"/>
  <c r="G41" i="8"/>
  <c r="G161" i="8"/>
  <c r="G77" i="8"/>
  <c r="J137" i="8"/>
  <c r="J138" i="8" s="1"/>
  <c r="J149" i="8" s="1"/>
  <c r="J130" i="8"/>
  <c r="J155" i="8" s="1"/>
  <c r="K128" i="8"/>
  <c r="K169" i="8"/>
  <c r="J171" i="8"/>
  <c r="J191" i="8" s="1"/>
  <c r="P16" i="8"/>
  <c r="Q17" i="8"/>
  <c r="K183" i="7"/>
  <c r="J185" i="7"/>
  <c r="J195" i="7" s="1"/>
  <c r="L249" i="7"/>
  <c r="L250" i="7"/>
  <c r="M251" i="7" s="1"/>
  <c r="J143" i="7"/>
  <c r="I149" i="7"/>
  <c r="L170" i="8"/>
  <c r="J429" i="8"/>
  <c r="F250" i="7"/>
  <c r="F258" i="7"/>
  <c r="J372" i="8"/>
  <c r="K169" i="7"/>
  <c r="I129" i="7"/>
  <c r="I154" i="7" s="1"/>
  <c r="J127" i="7"/>
  <c r="I136" i="7"/>
  <c r="I137" i="7" s="1"/>
  <c r="I148" i="7" s="1"/>
  <c r="L431" i="7"/>
  <c r="F4" i="7"/>
  <c r="G202" i="7"/>
  <c r="G160" i="7"/>
  <c r="G40" i="7"/>
  <c r="G119" i="7"/>
  <c r="G76" i="7"/>
  <c r="P393" i="8"/>
  <c r="R393" i="8" s="1" a="1"/>
  <c r="R393" i="8" s="1"/>
  <c r="P56" i="8"/>
  <c r="K291" i="7"/>
  <c r="K298" i="7" s="1"/>
  <c r="L22" i="3"/>
  <c r="L23" i="4"/>
  <c r="J391" i="8"/>
  <c r="F260" i="8"/>
  <c r="F252" i="8"/>
  <c r="I300" i="8"/>
  <c r="I323" i="8" s="1"/>
  <c r="I57" i="8"/>
  <c r="K168" i="7"/>
  <c r="J170" i="7"/>
  <c r="J190" i="7" s="1"/>
  <c r="P17" i="8"/>
  <c r="I298" i="7"/>
  <c r="M426" i="7" l="1"/>
  <c r="M428" i="7" s="1"/>
  <c r="M105" i="7" s="1"/>
  <c r="L105" i="7"/>
  <c r="R17" i="8" a="1"/>
  <c r="R17" i="8" s="1"/>
  <c r="J371" i="7"/>
  <c r="J100" i="8" s="1"/>
  <c r="R16" i="8" a="1"/>
  <c r="R16" i="8" s="1"/>
  <c r="M185" i="8"/>
  <c r="M186" i="8" s="1"/>
  <c r="M196" i="8" s="1"/>
  <c r="K248" i="7"/>
  <c r="M251" i="8"/>
  <c r="L236" i="7"/>
  <c r="L257" i="7" s="1"/>
  <c r="L76" i="7"/>
  <c r="L40" i="7"/>
  <c r="L280" i="7"/>
  <c r="L119" i="7"/>
  <c r="L160" i="7"/>
  <c r="L202" i="7"/>
  <c r="L382" i="7"/>
  <c r="M4" i="7"/>
  <c r="M119" i="7" s="1"/>
  <c r="L309" i="7"/>
  <c r="L351" i="7"/>
  <c r="R56" i="8" a="1"/>
  <c r="R56" i="8" s="1"/>
  <c r="M203" i="8"/>
  <c r="M310" i="8"/>
  <c r="M41" i="8"/>
  <c r="M421" i="8"/>
  <c r="M161" i="8"/>
  <c r="M352" i="8"/>
  <c r="M77" i="8"/>
  <c r="M120" i="8"/>
  <c r="M237" i="8"/>
  <c r="M383" i="8"/>
  <c r="M281" i="8"/>
  <c r="L249" i="8"/>
  <c r="L258" i="8"/>
  <c r="I299" i="7"/>
  <c r="I322" i="7" s="1"/>
  <c r="F251" i="7"/>
  <c r="F259" i="7"/>
  <c r="K185" i="7"/>
  <c r="K195" i="7" s="1"/>
  <c r="L183" i="7"/>
  <c r="I163" i="7"/>
  <c r="I150" i="7"/>
  <c r="I10" i="7" s="1"/>
  <c r="L168" i="7"/>
  <c r="K170" i="7"/>
  <c r="K190" i="7" s="1"/>
  <c r="K127" i="7"/>
  <c r="J136" i="7"/>
  <c r="J137" i="7" s="1"/>
  <c r="J148" i="7" s="1"/>
  <c r="J129" i="7"/>
  <c r="J154" i="7" s="1"/>
  <c r="L128" i="8"/>
  <c r="K137" i="8"/>
  <c r="K138" i="8" s="1"/>
  <c r="K149" i="8" s="1"/>
  <c r="K130" i="8"/>
  <c r="K155" i="8" s="1"/>
  <c r="K427" i="8"/>
  <c r="J106" i="8"/>
  <c r="J164" i="8"/>
  <c r="P57" i="8"/>
  <c r="I391" i="8"/>
  <c r="K22" i="3"/>
  <c r="K23" i="4"/>
  <c r="K171" i="8"/>
  <c r="K191" i="8" s="1"/>
  <c r="L169" i="8"/>
  <c r="K57" i="8"/>
  <c r="Q57" i="8" s="1"/>
  <c r="L169" i="7"/>
  <c r="I301" i="8"/>
  <c r="J298" i="8" s="1"/>
  <c r="M170" i="8"/>
  <c r="F161" i="8"/>
  <c r="F203" i="8"/>
  <c r="F120" i="8"/>
  <c r="F41" i="8"/>
  <c r="F77" i="8"/>
  <c r="F261" i="8"/>
  <c r="F253" i="8"/>
  <c r="J149" i="7"/>
  <c r="K143" i="7"/>
  <c r="L184" i="7"/>
  <c r="I174" i="8"/>
  <c r="I180" i="8"/>
  <c r="I181" i="8"/>
  <c r="I173" i="8"/>
  <c r="M250" i="7"/>
  <c r="M249" i="7"/>
  <c r="F76" i="7"/>
  <c r="F202" i="7"/>
  <c r="F160" i="7"/>
  <c r="F40" i="7"/>
  <c r="F119" i="7"/>
  <c r="M431" i="7"/>
  <c r="J150" i="8"/>
  <c r="J151" i="8" s="1"/>
  <c r="K144" i="8"/>
  <c r="J374" i="7" l="1"/>
  <c r="L248" i="7"/>
  <c r="J375" i="8"/>
  <c r="K370" i="8"/>
  <c r="K369" i="7"/>
  <c r="K372" i="8" s="1"/>
  <c r="J99" i="7"/>
  <c r="R57" i="8" a="1"/>
  <c r="R57" i="8" s="1"/>
  <c r="G261" i="8"/>
  <c r="H261" i="8" s="1"/>
  <c r="K261" i="8" s="1"/>
  <c r="M236" i="7"/>
  <c r="G258" i="7" s="1"/>
  <c r="H258" i="7" s="1"/>
  <c r="M40" i="7"/>
  <c r="M76" i="7"/>
  <c r="M280" i="7"/>
  <c r="M351" i="7"/>
  <c r="M382" i="7"/>
  <c r="M160" i="7"/>
  <c r="M420" i="7"/>
  <c r="M309" i="7"/>
  <c r="M202" i="7"/>
  <c r="I175" i="8"/>
  <c r="I195" i="8" s="1"/>
  <c r="I197" i="8" s="1"/>
  <c r="M258" i="8"/>
  <c r="M249" i="8"/>
  <c r="G259" i="8"/>
  <c r="H259" i="8" s="1"/>
  <c r="G260" i="8"/>
  <c r="H260" i="8" s="1"/>
  <c r="F254" i="8"/>
  <c r="F263" i="8" s="1"/>
  <c r="G263" i="8" s="1"/>
  <c r="H263" i="8" s="1"/>
  <c r="F262" i="8"/>
  <c r="G262" i="8" s="1"/>
  <c r="H262" i="8" s="1"/>
  <c r="K164" i="8"/>
  <c r="L137" i="8"/>
  <c r="L138" i="8" s="1"/>
  <c r="L149" i="8" s="1"/>
  <c r="M128" i="8"/>
  <c r="L130" i="8"/>
  <c r="L155" i="8" s="1"/>
  <c r="J150" i="7"/>
  <c r="J10" i="7" s="1"/>
  <c r="J163" i="7"/>
  <c r="L127" i="7"/>
  <c r="K136" i="7"/>
  <c r="K137" i="7" s="1"/>
  <c r="K148" i="7" s="1"/>
  <c r="K129" i="7"/>
  <c r="K154" i="7" s="1"/>
  <c r="M168" i="7"/>
  <c r="L170" i="7"/>
  <c r="L190" i="7" s="1"/>
  <c r="J300" i="8"/>
  <c r="J323" i="8" s="1"/>
  <c r="I179" i="7"/>
  <c r="I173" i="7"/>
  <c r="I172" i="7"/>
  <c r="I180" i="7"/>
  <c r="L144" i="8"/>
  <c r="K150" i="8"/>
  <c r="K151" i="8" s="1"/>
  <c r="K391" i="8"/>
  <c r="Q391" i="8" s="1"/>
  <c r="P391" i="8"/>
  <c r="M22" i="3"/>
  <c r="M23" i="4"/>
  <c r="K429" i="8"/>
  <c r="L261" i="8"/>
  <c r="J261" i="8"/>
  <c r="M261" i="8"/>
  <c r="J181" i="8"/>
  <c r="J180" i="8"/>
  <c r="J174" i="8"/>
  <c r="J173" i="8"/>
  <c r="I182" i="8"/>
  <c r="I192" i="8" s="1"/>
  <c r="I193" i="8" s="1"/>
  <c r="I11" i="8"/>
  <c r="M169" i="7"/>
  <c r="L185" i="7"/>
  <c r="L195" i="7" s="1"/>
  <c r="M183" i="7"/>
  <c r="M169" i="8"/>
  <c r="L171" i="8"/>
  <c r="L191" i="8" s="1"/>
  <c r="M184" i="7"/>
  <c r="F260" i="7"/>
  <c r="F252" i="7"/>
  <c r="K149" i="7"/>
  <c r="L143" i="7"/>
  <c r="I300" i="7"/>
  <c r="J297" i="7" s="1"/>
  <c r="I261" i="8" l="1"/>
  <c r="G259" i="7"/>
  <c r="H259" i="7" s="1"/>
  <c r="M259" i="7" s="1"/>
  <c r="K371" i="7"/>
  <c r="L370" i="8" s="1"/>
  <c r="G260" i="7"/>
  <c r="H260" i="7" s="1"/>
  <c r="J260" i="7" s="1"/>
  <c r="M248" i="7"/>
  <c r="M257" i="7"/>
  <c r="J175" i="8"/>
  <c r="J195" i="8" s="1"/>
  <c r="J197" i="8" s="1"/>
  <c r="J182" i="8"/>
  <c r="J192" i="8" s="1"/>
  <c r="J193" i="8" s="1"/>
  <c r="I174" i="7"/>
  <c r="I194" i="7" s="1"/>
  <c r="I196" i="7" s="1"/>
  <c r="I11" i="7" s="1"/>
  <c r="I12" i="7" s="1"/>
  <c r="I17" i="7" s="1"/>
  <c r="K260" i="8"/>
  <c r="L260" i="8"/>
  <c r="M260" i="8"/>
  <c r="J260" i="8"/>
  <c r="I260" i="8"/>
  <c r="J259" i="8"/>
  <c r="I259" i="8"/>
  <c r="K259" i="8"/>
  <c r="L259" i="8"/>
  <c r="M259" i="8"/>
  <c r="L129" i="7"/>
  <c r="L154" i="7" s="1"/>
  <c r="M127" i="7"/>
  <c r="L136" i="7"/>
  <c r="L137" i="7" s="1"/>
  <c r="L148" i="7" s="1"/>
  <c r="J180" i="7"/>
  <c r="J173" i="7"/>
  <c r="J172" i="7"/>
  <c r="J179" i="7"/>
  <c r="M130" i="8"/>
  <c r="M155" i="8" s="1"/>
  <c r="M137" i="8"/>
  <c r="M138" i="8" s="1"/>
  <c r="M149" i="8" s="1"/>
  <c r="M185" i="7"/>
  <c r="M195" i="7" s="1"/>
  <c r="M170" i="7"/>
  <c r="M190" i="7" s="1"/>
  <c r="I258" i="7"/>
  <c r="J258" i="7"/>
  <c r="K258" i="7"/>
  <c r="L258" i="7"/>
  <c r="M258" i="7"/>
  <c r="L427" i="8"/>
  <c r="K106" i="8"/>
  <c r="K150" i="7"/>
  <c r="K10" i="7" s="1"/>
  <c r="K163" i="7"/>
  <c r="L150" i="8"/>
  <c r="L151" i="8" s="1"/>
  <c r="M144" i="8"/>
  <c r="M150" i="8" s="1"/>
  <c r="J11" i="8"/>
  <c r="J207" i="8" s="1"/>
  <c r="J218" i="8" s="1"/>
  <c r="M171" i="8"/>
  <c r="M191" i="8" s="1"/>
  <c r="I181" i="7"/>
  <c r="I191" i="7" s="1"/>
  <c r="I192" i="7" s="1"/>
  <c r="J299" i="7"/>
  <c r="J322" i="7" s="1"/>
  <c r="L164" i="8"/>
  <c r="M143" i="7"/>
  <c r="M149" i="7" s="1"/>
  <c r="L149" i="7"/>
  <c r="J301" i="8"/>
  <c r="K298" i="8" s="1"/>
  <c r="K180" i="8"/>
  <c r="K181" i="8"/>
  <c r="K174" i="8"/>
  <c r="K173" i="8"/>
  <c r="K175" i="8" s="1"/>
  <c r="K195" i="8" s="1"/>
  <c r="K197" i="8" s="1"/>
  <c r="R391" i="8" a="1"/>
  <c r="R391" i="8" s="1"/>
  <c r="I262" i="8"/>
  <c r="J262" i="8"/>
  <c r="K262" i="8"/>
  <c r="M262" i="8"/>
  <c r="L262" i="8"/>
  <c r="M263" i="8"/>
  <c r="J263" i="8"/>
  <c r="K263" i="8"/>
  <c r="L263" i="8"/>
  <c r="I263" i="8"/>
  <c r="F253" i="7"/>
  <c r="F262" i="7" s="1"/>
  <c r="G262" i="7" s="1"/>
  <c r="H262" i="7" s="1"/>
  <c r="F261" i="7"/>
  <c r="G261" i="7" s="1"/>
  <c r="H261" i="7" s="1"/>
  <c r="I207" i="8"/>
  <c r="I218" i="8" s="1"/>
  <c r="K11" i="4"/>
  <c r="I206" i="7"/>
  <c r="I217" i="7" s="1"/>
  <c r="I82" i="7" s="1"/>
  <c r="K10" i="3"/>
  <c r="L259" i="7" l="1"/>
  <c r="K259" i="7"/>
  <c r="J259" i="7"/>
  <c r="I259" i="7"/>
  <c r="K374" i="7"/>
  <c r="K375" i="8"/>
  <c r="K100" i="8"/>
  <c r="L369" i="7"/>
  <c r="K99" i="7"/>
  <c r="M260" i="7"/>
  <c r="L260" i="7"/>
  <c r="I260" i="7"/>
  <c r="K260" i="7"/>
  <c r="M270" i="8"/>
  <c r="M271" i="8" s="1"/>
  <c r="M293" i="8" s="1"/>
  <c r="M322" i="8" s="1"/>
  <c r="J270" i="8"/>
  <c r="J271" i="8" s="1"/>
  <c r="J293" i="8" s="1"/>
  <c r="J322" i="8" s="1"/>
  <c r="L270" i="8"/>
  <c r="L271" i="8" s="1"/>
  <c r="L293" i="8" s="1"/>
  <c r="L322" i="8" s="1"/>
  <c r="K270" i="8"/>
  <c r="K271" i="8" s="1"/>
  <c r="K293" i="8" s="1"/>
  <c r="K322" i="8" s="1"/>
  <c r="J174" i="7"/>
  <c r="J194" i="7" s="1"/>
  <c r="J196" i="7" s="1"/>
  <c r="J181" i="7"/>
  <c r="J191" i="7" s="1"/>
  <c r="J192" i="7" s="1"/>
  <c r="I12" i="8"/>
  <c r="I208" i="8" s="1"/>
  <c r="I18" i="8"/>
  <c r="I270" i="8"/>
  <c r="I271" i="8" s="1"/>
  <c r="I293" i="8" s="1"/>
  <c r="I294" i="8" s="1"/>
  <c r="J291" i="8" s="1"/>
  <c r="L429" i="8"/>
  <c r="L180" i="8"/>
  <c r="L181" i="8"/>
  <c r="L174" i="8"/>
  <c r="L173" i="8"/>
  <c r="L175" i="8" s="1"/>
  <c r="L195" i="8" s="1"/>
  <c r="L197" i="8" s="1"/>
  <c r="I83" i="8"/>
  <c r="I225" i="7"/>
  <c r="I48" i="7" s="1"/>
  <c r="M129" i="7"/>
  <c r="M154" i="7" s="1"/>
  <c r="M136" i="7"/>
  <c r="M137" i="7" s="1"/>
  <c r="M148" i="7" s="1"/>
  <c r="K300" i="8"/>
  <c r="K323" i="8" s="1"/>
  <c r="J300" i="7"/>
  <c r="K297" i="7" s="1"/>
  <c r="I207" i="7"/>
  <c r="L10" i="3"/>
  <c r="L11" i="4"/>
  <c r="J206" i="7"/>
  <c r="J217" i="7" s="1"/>
  <c r="L163" i="7"/>
  <c r="L150" i="7"/>
  <c r="L10" i="7" s="1"/>
  <c r="J226" i="8"/>
  <c r="I226" i="8"/>
  <c r="K180" i="7"/>
  <c r="K179" i="7"/>
  <c r="K173" i="7"/>
  <c r="K172" i="7"/>
  <c r="L261" i="7"/>
  <c r="M261" i="7"/>
  <c r="K261" i="7"/>
  <c r="I261" i="7"/>
  <c r="J261" i="7"/>
  <c r="K11" i="8"/>
  <c r="K207" i="8" s="1"/>
  <c r="K218" i="8" s="1"/>
  <c r="K226" i="8" s="1"/>
  <c r="M151" i="8"/>
  <c r="M164" i="8"/>
  <c r="M262" i="7"/>
  <c r="I262" i="7"/>
  <c r="J262" i="7"/>
  <c r="L262" i="7"/>
  <c r="K262" i="7"/>
  <c r="K182" i="8"/>
  <c r="K192" i="8" s="1"/>
  <c r="K193" i="8" s="1"/>
  <c r="L371" i="7" l="1"/>
  <c r="L374" i="7" s="1"/>
  <c r="L372" i="8"/>
  <c r="J12" i="8"/>
  <c r="J208" i="8" s="1"/>
  <c r="J220" i="8" s="1"/>
  <c r="J11" i="7"/>
  <c r="J13" i="8" s="1"/>
  <c r="J225" i="7"/>
  <c r="J48" i="7" s="1"/>
  <c r="J82" i="7"/>
  <c r="J294" i="8"/>
  <c r="K291" i="8" s="1"/>
  <c r="K294" i="8" s="1"/>
  <c r="L291" i="8" s="1"/>
  <c r="L294" i="8" s="1"/>
  <c r="M291" i="8" s="1"/>
  <c r="M294" i="8" s="1"/>
  <c r="I322" i="8"/>
  <c r="K181" i="7"/>
  <c r="K191" i="7" s="1"/>
  <c r="K192" i="7" s="1"/>
  <c r="I13" i="8"/>
  <c r="K174" i="7"/>
  <c r="K194" i="7" s="1"/>
  <c r="K196" i="7" s="1"/>
  <c r="K11" i="7" s="1"/>
  <c r="K12" i="7" s="1"/>
  <c r="K17" i="7" s="1"/>
  <c r="M269" i="7"/>
  <c r="M270" i="7" s="1"/>
  <c r="M20" i="7" s="1"/>
  <c r="M47" i="7" s="1"/>
  <c r="L269" i="7"/>
  <c r="L270" i="7" s="1"/>
  <c r="K269" i="7"/>
  <c r="K270" i="7" s="1"/>
  <c r="J269" i="7"/>
  <c r="J270" i="7" s="1"/>
  <c r="I269" i="7"/>
  <c r="I270" i="7" s="1"/>
  <c r="L173" i="7"/>
  <c r="L179" i="7"/>
  <c r="L172" i="7"/>
  <c r="L180" i="7"/>
  <c r="I49" i="8"/>
  <c r="I218" i="7"/>
  <c r="I83" i="7" s="1"/>
  <c r="I219" i="7"/>
  <c r="I94" i="7" s="1"/>
  <c r="K301" i="8"/>
  <c r="L298" i="8" s="1"/>
  <c r="M150" i="7"/>
  <c r="M10" i="7" s="1"/>
  <c r="M163" i="7"/>
  <c r="I220" i="8"/>
  <c r="I228" i="8" s="1"/>
  <c r="I219" i="8"/>
  <c r="L182" i="8"/>
  <c r="L192" i="8" s="1"/>
  <c r="L193" i="8" s="1"/>
  <c r="K13" i="4"/>
  <c r="K12" i="3"/>
  <c r="J83" i="8"/>
  <c r="M180" i="8"/>
  <c r="M181" i="8"/>
  <c r="M174" i="8"/>
  <c r="M173" i="8"/>
  <c r="K206" i="7"/>
  <c r="K217" i="7" s="1"/>
  <c r="M10" i="3"/>
  <c r="M11" i="4"/>
  <c r="M427" i="8"/>
  <c r="Q427" i="8" s="1"/>
  <c r="L106" i="8"/>
  <c r="L11" i="8"/>
  <c r="L207" i="8" s="1"/>
  <c r="L218" i="8" s="1"/>
  <c r="L226" i="8" s="1"/>
  <c r="K299" i="7"/>
  <c r="K322" i="7" s="1"/>
  <c r="J219" i="8" l="1"/>
  <c r="J227" i="8" s="1"/>
  <c r="J49" i="8"/>
  <c r="L375" i="8"/>
  <c r="I292" i="7"/>
  <c r="I321" i="7" s="1"/>
  <c r="I20" i="7"/>
  <c r="K225" i="7"/>
  <c r="K48" i="7" s="1"/>
  <c r="K82" i="7"/>
  <c r="L100" i="8"/>
  <c r="M21" i="8"/>
  <c r="M370" i="8"/>
  <c r="Q370" i="8" s="1"/>
  <c r="M292" i="7"/>
  <c r="M321" i="7" s="1"/>
  <c r="J12" i="7"/>
  <c r="J207" i="7"/>
  <c r="J292" i="7"/>
  <c r="J321" i="7" s="1"/>
  <c r="J20" i="7"/>
  <c r="J47" i="7" s="1"/>
  <c r="K21" i="8"/>
  <c r="K20" i="7"/>
  <c r="K47" i="7" s="1"/>
  <c r="L21" i="8"/>
  <c r="L20" i="7"/>
  <c r="L47" i="7" s="1"/>
  <c r="M369" i="7"/>
  <c r="L99" i="7"/>
  <c r="I21" i="8"/>
  <c r="L292" i="7"/>
  <c r="L321" i="7" s="1"/>
  <c r="K292" i="7"/>
  <c r="K321" i="7" s="1"/>
  <c r="M175" i="8"/>
  <c r="M195" i="8" s="1"/>
  <c r="M197" i="8" s="1"/>
  <c r="K12" i="8"/>
  <c r="K208" i="8" s="1"/>
  <c r="K220" i="8" s="1"/>
  <c r="K228" i="8" s="1"/>
  <c r="K207" i="7"/>
  <c r="K218" i="7" s="1"/>
  <c r="K83" i="7" s="1"/>
  <c r="J21" i="8"/>
  <c r="J228" i="8"/>
  <c r="L174" i="7"/>
  <c r="L194" i="7" s="1"/>
  <c r="L196" i="7" s="1"/>
  <c r="L11" i="7" s="1"/>
  <c r="L12" i="7" s="1"/>
  <c r="L17" i="7" s="1"/>
  <c r="K13" i="8"/>
  <c r="M429" i="8"/>
  <c r="Q429" i="8" s="1"/>
  <c r="P427" i="8"/>
  <c r="R427" i="8" s="1" a="1"/>
  <c r="R427" i="8" s="1"/>
  <c r="M11" i="8"/>
  <c r="M207" i="8" s="1"/>
  <c r="M218" i="8" s="1"/>
  <c r="M226" i="8" s="1"/>
  <c r="I95" i="8"/>
  <c r="I227" i="7"/>
  <c r="I50" i="7" s="1"/>
  <c r="I84" i="8"/>
  <c r="I226" i="7"/>
  <c r="I49" i="7" s="1"/>
  <c r="M182" i="8"/>
  <c r="M192" i="8" s="1"/>
  <c r="M193" i="8" s="1"/>
  <c r="K300" i="7"/>
  <c r="L297" i="7" s="1"/>
  <c r="K83" i="8"/>
  <c r="L206" i="7"/>
  <c r="L217" i="7" s="1"/>
  <c r="L82" i="7" s="1"/>
  <c r="N10" i="3"/>
  <c r="N11" i="4"/>
  <c r="K48" i="8"/>
  <c r="L300" i="8"/>
  <c r="L323" i="8" s="1"/>
  <c r="K14" i="4"/>
  <c r="I227" i="8"/>
  <c r="I229" i="8" s="1"/>
  <c r="M48" i="8"/>
  <c r="M372" i="8"/>
  <c r="Q372" i="8" s="1"/>
  <c r="P370" i="8"/>
  <c r="L181" i="7"/>
  <c r="L191" i="7" s="1"/>
  <c r="L192" i="7" s="1"/>
  <c r="M180" i="7"/>
  <c r="M179" i="7"/>
  <c r="M172" i="7"/>
  <c r="M173" i="7"/>
  <c r="R370" i="8" l="1" a="1"/>
  <c r="R370" i="8" s="1"/>
  <c r="P21" i="8"/>
  <c r="I48" i="8"/>
  <c r="K22" i="8"/>
  <c r="I22" i="8"/>
  <c r="I293" i="7"/>
  <c r="I86" i="7" s="1"/>
  <c r="J48" i="8"/>
  <c r="L21" i="7"/>
  <c r="J219" i="7"/>
  <c r="J218" i="7"/>
  <c r="J17" i="7"/>
  <c r="J18" i="8"/>
  <c r="M371" i="7"/>
  <c r="M99" i="7" s="1"/>
  <c r="I47" i="7"/>
  <c r="P48" i="8" s="1"/>
  <c r="I21" i="7"/>
  <c r="L48" i="8"/>
  <c r="M181" i="7"/>
  <c r="M191" i="7" s="1"/>
  <c r="M192" i="7" s="1"/>
  <c r="K49" i="8"/>
  <c r="K21" i="7"/>
  <c r="K219" i="7"/>
  <c r="K94" i="7" s="1"/>
  <c r="K219" i="8"/>
  <c r="K227" i="8" s="1"/>
  <c r="K229" i="8" s="1"/>
  <c r="Q21" i="8"/>
  <c r="J229" i="8"/>
  <c r="L12" i="8"/>
  <c r="L208" i="8" s="1"/>
  <c r="K18" i="8"/>
  <c r="L18" i="8"/>
  <c r="M174" i="7"/>
  <c r="M194" i="7" s="1"/>
  <c r="M196" i="7" s="1"/>
  <c r="M11" i="7" s="1"/>
  <c r="M12" i="7" s="1"/>
  <c r="M17" i="7" s="1"/>
  <c r="M21" i="7" s="1"/>
  <c r="K84" i="8"/>
  <c r="L13" i="8"/>
  <c r="M13" i="4"/>
  <c r="M12" i="3"/>
  <c r="L83" i="8"/>
  <c r="I50" i="8"/>
  <c r="I228" i="7"/>
  <c r="L225" i="7"/>
  <c r="L48" i="7" s="1"/>
  <c r="L299" i="7"/>
  <c r="L322" i="7" s="1"/>
  <c r="I51" i="8"/>
  <c r="O11" i="4"/>
  <c r="M206" i="7"/>
  <c r="M217" i="7" s="1"/>
  <c r="M82" i="7" s="1"/>
  <c r="O10" i="3"/>
  <c r="P11" i="8"/>
  <c r="L301" i="8"/>
  <c r="M298" i="8" s="1"/>
  <c r="Q11" i="8"/>
  <c r="M106" i="8"/>
  <c r="Q106" i="8" s="1"/>
  <c r="P429" i="8"/>
  <c r="R429" i="8" s="1" a="1"/>
  <c r="R429" i="8" s="1"/>
  <c r="Q48" i="8" l="1"/>
  <c r="R48" i="8" s="1" a="1"/>
  <c r="R48" i="8" s="1"/>
  <c r="M374" i="7"/>
  <c r="R21" i="8" a="1"/>
  <c r="R21" i="8" s="1"/>
  <c r="I87" i="8"/>
  <c r="J290" i="7"/>
  <c r="J293" i="7" s="1"/>
  <c r="J86" i="7" s="1"/>
  <c r="J21" i="7"/>
  <c r="L13" i="4"/>
  <c r="J22" i="8"/>
  <c r="L12" i="3"/>
  <c r="L14" i="4" s="1"/>
  <c r="J83" i="7"/>
  <c r="J84" i="8"/>
  <c r="J226" i="7"/>
  <c r="J94" i="7"/>
  <c r="J227" i="7"/>
  <c r="J95" i="8"/>
  <c r="P372" i="8"/>
  <c r="R372" i="8" s="1" a="1"/>
  <c r="R372" i="8" s="1"/>
  <c r="M375" i="8"/>
  <c r="Q375" i="8" s="1"/>
  <c r="M100" i="8"/>
  <c r="Q100" i="8" s="1"/>
  <c r="K226" i="7"/>
  <c r="K49" i="7" s="1"/>
  <c r="K227" i="7"/>
  <c r="K50" i="7" s="1"/>
  <c r="K95" i="8"/>
  <c r="L207" i="7"/>
  <c r="L218" i="7" s="1"/>
  <c r="L83" i="7" s="1"/>
  <c r="R11" i="8" a="1"/>
  <c r="R11" i="8" s="1"/>
  <c r="K51" i="8"/>
  <c r="P106" i="8"/>
  <c r="R106" i="8" s="1" a="1"/>
  <c r="R106" i="8" s="1"/>
  <c r="M12" i="8"/>
  <c r="P100" i="8"/>
  <c r="M300" i="8"/>
  <c r="M323" i="8" s="1"/>
  <c r="L49" i="8"/>
  <c r="P83" i="8"/>
  <c r="M83" i="8"/>
  <c r="Q83" i="8" s="1"/>
  <c r="L220" i="8"/>
  <c r="L228" i="8" s="1"/>
  <c r="L219" i="8"/>
  <c r="L300" i="7"/>
  <c r="M297" i="7" s="1"/>
  <c r="P375" i="8"/>
  <c r="M225" i="7"/>
  <c r="M48" i="7" s="1"/>
  <c r="M14" i="4"/>
  <c r="N13" i="4"/>
  <c r="N12" i="3"/>
  <c r="L22" i="8"/>
  <c r="R100" i="8" l="1" a="1"/>
  <c r="R100" i="8" s="1"/>
  <c r="K290" i="7"/>
  <c r="K293" i="7" s="1"/>
  <c r="K86" i="7" s="1"/>
  <c r="J87" i="8"/>
  <c r="K228" i="7"/>
  <c r="K50" i="8"/>
  <c r="R375" i="8" a="1"/>
  <c r="R375" i="8" s="1"/>
  <c r="J49" i="7"/>
  <c r="J50" i="8"/>
  <c r="J228" i="7"/>
  <c r="L219" i="7"/>
  <c r="L94" i="7" s="1"/>
  <c r="J50" i="7"/>
  <c r="J51" i="8"/>
  <c r="L227" i="8"/>
  <c r="L229" i="8" s="1"/>
  <c r="N14" i="4"/>
  <c r="R83" i="8" a="1"/>
  <c r="R83" i="8" s="1"/>
  <c r="L84" i="8"/>
  <c r="L226" i="7"/>
  <c r="L49" i="7" s="1"/>
  <c r="M301" i="8"/>
  <c r="K87" i="8"/>
  <c r="L290" i="7"/>
  <c r="L293" i="7" s="1"/>
  <c r="L86" i="7" s="1"/>
  <c r="M49" i="8"/>
  <c r="Q49" i="8" s="1"/>
  <c r="P49" i="8"/>
  <c r="M208" i="8"/>
  <c r="Q12" i="8"/>
  <c r="M207" i="7"/>
  <c r="P12" i="8"/>
  <c r="M13" i="8"/>
  <c r="Q13" i="8" s="1"/>
  <c r="M299" i="7"/>
  <c r="M322" i="7" s="1"/>
  <c r="L227" i="7" l="1"/>
  <c r="L50" i="7" s="1"/>
  <c r="L95" i="8"/>
  <c r="R49" i="8" a="1"/>
  <c r="R49" i="8" s="1"/>
  <c r="R12" i="8" a="1"/>
  <c r="R12" i="8" s="1"/>
  <c r="M18" i="8"/>
  <c r="Q18" i="8" s="1"/>
  <c r="P13" i="8"/>
  <c r="R13" i="8" a="1"/>
  <c r="R13" i="8" s="1"/>
  <c r="M218" i="7"/>
  <c r="M83" i="7" s="1"/>
  <c r="M219" i="7"/>
  <c r="M94" i="7" s="1"/>
  <c r="M220" i="8"/>
  <c r="M228" i="8" s="1"/>
  <c r="M219" i="8"/>
  <c r="M227" i="8" s="1"/>
  <c r="L87" i="8"/>
  <c r="M290" i="7"/>
  <c r="M293" i="7" s="1"/>
  <c r="M86" i="7" s="1"/>
  <c r="L50" i="8"/>
  <c r="M300" i="7"/>
  <c r="L51" i="8" l="1"/>
  <c r="L228" i="7"/>
  <c r="M229" i="8"/>
  <c r="O13" i="4"/>
  <c r="O12" i="3"/>
  <c r="M22" i="8"/>
  <c r="Q22" i="8" s="1"/>
  <c r="P18" i="8"/>
  <c r="R18" i="8" s="1" a="1"/>
  <c r="R18" i="8" s="1"/>
  <c r="M87" i="8"/>
  <c r="Q87" i="8" s="1"/>
  <c r="P87" i="8"/>
  <c r="M95" i="8"/>
  <c r="Q95" i="8" s="1"/>
  <c r="M227" i="7"/>
  <c r="M50" i="7" s="1"/>
  <c r="M84" i="8"/>
  <c r="Q84" i="8" s="1"/>
  <c r="M226" i="7"/>
  <c r="M49" i="7" s="1"/>
  <c r="M50" i="8" l="1"/>
  <c r="Q50" i="8" s="1"/>
  <c r="M228" i="7"/>
  <c r="P84" i="8"/>
  <c r="R84" i="8" s="1" a="1"/>
  <c r="R84" i="8" s="1"/>
  <c r="M51" i="8"/>
  <c r="Q51" i="8" s="1"/>
  <c r="P95" i="8"/>
  <c r="R95" i="8" s="1" a="1"/>
  <c r="R95" i="8" s="1"/>
  <c r="R87" i="8" a="1"/>
  <c r="R87" i="8" s="1"/>
  <c r="P22" i="8"/>
  <c r="R22" i="8" s="1" a="1"/>
  <c r="R22" i="8" s="1"/>
  <c r="O14" i="4"/>
  <c r="S14" i="4" s="1"/>
  <c r="P51" i="8" l="1"/>
  <c r="R51" i="8" s="1" a="1"/>
  <c r="R51" i="8" s="1"/>
  <c r="R14" i="4"/>
  <c r="T14" i="4" s="1" a="1"/>
  <c r="T14" i="4" s="1"/>
  <c r="P50" i="8"/>
  <c r="R50" i="8" s="1" a="1"/>
  <c r="R50" i="8" s="1"/>
  <c r="R25" i="4"/>
  <c r="T25" i="4" a="1"/>
  <c r="T25" i="4" s="1"/>
  <c r="R17" i="4"/>
  <c r="T17" i="4" a="1"/>
  <c r="T17" i="4" s="1"/>
  <c r="I363" i="8"/>
  <c r="I407" i="8" l="1"/>
  <c r="I24" i="7" l="1"/>
  <c r="J24" i="7"/>
  <c r="K24" i="7"/>
  <c r="L24" i="7"/>
  <c r="M24" i="7"/>
  <c r="I25" i="7"/>
  <c r="J25" i="7"/>
  <c r="K25" i="7"/>
  <c r="L25" i="7"/>
  <c r="M25" i="7"/>
  <c r="I26" i="7"/>
  <c r="J26" i="7"/>
  <c r="K26" i="7"/>
  <c r="L26" i="7"/>
  <c r="M26" i="7"/>
  <c r="I29" i="7"/>
  <c r="J29" i="7"/>
  <c r="K29" i="7"/>
  <c r="L29" i="7"/>
  <c r="M29" i="7"/>
  <c r="I30" i="7"/>
  <c r="J30" i="7"/>
  <c r="K30" i="7"/>
  <c r="L30" i="7"/>
  <c r="M30" i="7"/>
  <c r="I31" i="7"/>
  <c r="J31" i="7"/>
  <c r="K31" i="7"/>
  <c r="L31" i="7"/>
  <c r="M31" i="7"/>
  <c r="I34" i="7"/>
  <c r="J34" i="7"/>
  <c r="K34" i="7"/>
  <c r="L34" i="7"/>
  <c r="M34" i="7"/>
  <c r="I45" i="7"/>
  <c r="J45" i="7"/>
  <c r="K45" i="7"/>
  <c r="L45" i="7"/>
  <c r="M45" i="7"/>
  <c r="I46" i="7"/>
  <c r="J46" i="7"/>
  <c r="K46" i="7"/>
  <c r="L46" i="7"/>
  <c r="M46" i="7"/>
  <c r="I51" i="7"/>
  <c r="J51" i="7"/>
  <c r="K51" i="7"/>
  <c r="L51" i="7"/>
  <c r="M51" i="7"/>
  <c r="I61" i="7"/>
  <c r="J61" i="7"/>
  <c r="K61" i="7"/>
  <c r="L61" i="7"/>
  <c r="M61" i="7"/>
  <c r="I63" i="7"/>
  <c r="J63" i="7"/>
  <c r="K63" i="7"/>
  <c r="L63" i="7"/>
  <c r="M63" i="7"/>
  <c r="I64" i="7"/>
  <c r="J64" i="7"/>
  <c r="K64" i="7"/>
  <c r="L64" i="7"/>
  <c r="M64" i="7"/>
  <c r="J68" i="7"/>
  <c r="K68" i="7"/>
  <c r="L68" i="7"/>
  <c r="M68" i="7"/>
  <c r="I69" i="7"/>
  <c r="J69" i="7"/>
  <c r="K69" i="7"/>
  <c r="L69" i="7"/>
  <c r="M69" i="7"/>
  <c r="I70" i="7"/>
  <c r="J70" i="7"/>
  <c r="K70" i="7"/>
  <c r="L70" i="7"/>
  <c r="M70" i="7"/>
  <c r="I81" i="7"/>
  <c r="J81" i="7"/>
  <c r="K81" i="7"/>
  <c r="L81" i="7"/>
  <c r="M81" i="7"/>
  <c r="I84" i="7"/>
  <c r="J84" i="7"/>
  <c r="K84" i="7"/>
  <c r="L84" i="7"/>
  <c r="M84" i="7"/>
  <c r="I89" i="7"/>
  <c r="J89" i="7"/>
  <c r="K89" i="7"/>
  <c r="L89" i="7"/>
  <c r="M89" i="7"/>
  <c r="I95" i="7"/>
  <c r="J95" i="7"/>
  <c r="K95" i="7"/>
  <c r="L95" i="7"/>
  <c r="M95" i="7"/>
  <c r="I96" i="7"/>
  <c r="J96" i="7"/>
  <c r="K96" i="7"/>
  <c r="L96" i="7"/>
  <c r="M96" i="7"/>
  <c r="I98" i="7"/>
  <c r="J98" i="7"/>
  <c r="K98" i="7"/>
  <c r="L98" i="7"/>
  <c r="M98" i="7"/>
  <c r="I100" i="7"/>
  <c r="J100" i="7"/>
  <c r="K100" i="7"/>
  <c r="L100" i="7"/>
  <c r="M100" i="7"/>
  <c r="I106" i="7"/>
  <c r="J106" i="7"/>
  <c r="K106" i="7"/>
  <c r="L106" i="7"/>
  <c r="M106" i="7"/>
  <c r="I107" i="7"/>
  <c r="J107" i="7"/>
  <c r="K107" i="7"/>
  <c r="L107" i="7"/>
  <c r="M107" i="7"/>
  <c r="I110" i="7"/>
  <c r="J110" i="7"/>
  <c r="K110" i="7"/>
  <c r="L110" i="7"/>
  <c r="M110" i="7"/>
  <c r="I113" i="7"/>
  <c r="J113" i="7"/>
  <c r="K113" i="7"/>
  <c r="L113" i="7"/>
  <c r="M113" i="7"/>
  <c r="I312" i="7"/>
  <c r="J312" i="7"/>
  <c r="K312" i="7"/>
  <c r="L312" i="7"/>
  <c r="M312" i="7"/>
  <c r="I313" i="7"/>
  <c r="J313" i="7"/>
  <c r="K313" i="7"/>
  <c r="L313" i="7"/>
  <c r="M313" i="7"/>
  <c r="D316" i="7"/>
  <c r="I320" i="7"/>
  <c r="J320" i="7"/>
  <c r="K320" i="7"/>
  <c r="L320" i="7"/>
  <c r="M320" i="7"/>
  <c r="I323" i="7"/>
  <c r="J323" i="7"/>
  <c r="K323" i="7"/>
  <c r="L323" i="7"/>
  <c r="M323" i="7"/>
  <c r="I326" i="7"/>
  <c r="J326" i="7"/>
  <c r="K326" i="7"/>
  <c r="L326" i="7"/>
  <c r="M326" i="7"/>
  <c r="I327" i="7"/>
  <c r="J327" i="7"/>
  <c r="K327" i="7"/>
  <c r="L327" i="7"/>
  <c r="M327" i="7"/>
  <c r="I328" i="7"/>
  <c r="J328" i="7"/>
  <c r="K328" i="7"/>
  <c r="L328" i="7"/>
  <c r="M328" i="7"/>
  <c r="J331" i="7"/>
  <c r="K331" i="7"/>
  <c r="L331" i="7"/>
  <c r="M331" i="7"/>
  <c r="I332" i="7"/>
  <c r="J332" i="7"/>
  <c r="K332" i="7"/>
  <c r="L332" i="7"/>
  <c r="M332" i="7"/>
  <c r="I333" i="7"/>
  <c r="J333" i="7"/>
  <c r="K333" i="7"/>
  <c r="L333" i="7"/>
  <c r="M333" i="7"/>
  <c r="I334" i="7"/>
  <c r="J334" i="7"/>
  <c r="K334" i="7"/>
  <c r="L334" i="7"/>
  <c r="M334" i="7"/>
  <c r="I339" i="7"/>
  <c r="J339" i="7"/>
  <c r="K339" i="7"/>
  <c r="L339" i="7"/>
  <c r="M339" i="7"/>
  <c r="I340" i="7"/>
  <c r="J340" i="7"/>
  <c r="K340" i="7"/>
  <c r="L340" i="7"/>
  <c r="M340" i="7"/>
  <c r="I341" i="7"/>
  <c r="J341" i="7"/>
  <c r="K341" i="7"/>
  <c r="L341" i="7"/>
  <c r="M341" i="7"/>
  <c r="J357" i="7"/>
  <c r="K357" i="7"/>
  <c r="L357" i="7"/>
  <c r="M357" i="7"/>
  <c r="I358" i="7"/>
  <c r="J358" i="7"/>
  <c r="K358" i="7"/>
  <c r="L358" i="7"/>
  <c r="M358" i="7"/>
  <c r="I359" i="7"/>
  <c r="J359" i="7"/>
  <c r="K359" i="7"/>
  <c r="L359" i="7"/>
  <c r="M359" i="7"/>
  <c r="I362" i="7"/>
  <c r="J362" i="7"/>
  <c r="K362" i="7"/>
  <c r="L362" i="7"/>
  <c r="M362" i="7"/>
  <c r="J388" i="7"/>
  <c r="K388" i="7"/>
  <c r="L388" i="7"/>
  <c r="M388" i="7"/>
  <c r="I389" i="7"/>
  <c r="J389" i="7"/>
  <c r="K389" i="7"/>
  <c r="L389" i="7"/>
  <c r="M389" i="7"/>
  <c r="I393" i="7"/>
  <c r="J393" i="7"/>
  <c r="K393" i="7"/>
  <c r="L393" i="7"/>
  <c r="M393" i="7"/>
  <c r="I394" i="7"/>
  <c r="J394" i="7"/>
  <c r="K394" i="7"/>
  <c r="L394" i="7"/>
  <c r="M394" i="7"/>
  <c r="J401" i="7"/>
  <c r="K401" i="7"/>
  <c r="L401" i="7"/>
  <c r="M401" i="7"/>
  <c r="I402" i="7"/>
  <c r="J402" i="7"/>
  <c r="K402" i="7"/>
  <c r="L402" i="7"/>
  <c r="M402" i="7"/>
  <c r="I403" i="7"/>
  <c r="J403" i="7"/>
  <c r="K403" i="7"/>
  <c r="L403" i="7"/>
  <c r="M403" i="7"/>
  <c r="I406" i="7"/>
  <c r="J406" i="7"/>
  <c r="K406" i="7"/>
  <c r="L406" i="7"/>
  <c r="M406" i="7"/>
  <c r="I410" i="7"/>
  <c r="J410" i="7"/>
  <c r="K410" i="7"/>
  <c r="L410" i="7"/>
  <c r="M410" i="7"/>
  <c r="I411" i="7"/>
  <c r="J411" i="7"/>
  <c r="K411" i="7"/>
  <c r="L411" i="7"/>
  <c r="M411" i="7"/>
  <c r="I412" i="7"/>
  <c r="J412" i="7"/>
  <c r="K412" i="7"/>
  <c r="L412" i="7"/>
  <c r="M412" i="7"/>
  <c r="I430" i="7"/>
  <c r="J430" i="7"/>
  <c r="K430" i="7"/>
  <c r="L430" i="7"/>
  <c r="M430" i="7"/>
  <c r="I432" i="7"/>
  <c r="J432" i="7"/>
  <c r="K432" i="7"/>
  <c r="L432" i="7"/>
  <c r="M432" i="7"/>
  <c r="J439" i="7"/>
  <c r="K439" i="7"/>
  <c r="L439" i="7"/>
  <c r="M439" i="7"/>
  <c r="I440" i="7"/>
  <c r="J440" i="7"/>
  <c r="K440" i="7"/>
  <c r="L440" i="7"/>
  <c r="M440" i="7"/>
  <c r="I441" i="7"/>
  <c r="J441" i="7"/>
  <c r="K441" i="7"/>
  <c r="L441" i="7"/>
  <c r="M441" i="7"/>
  <c r="I442" i="7"/>
  <c r="J442" i="7"/>
  <c r="K442" i="7"/>
  <c r="L442" i="7"/>
  <c r="M442" i="7"/>
  <c r="I25" i="8"/>
  <c r="J25" i="8"/>
  <c r="K25" i="8"/>
  <c r="L25" i="8"/>
  <c r="M25" i="8"/>
  <c r="P25" i="8"/>
  <c r="Q25" i="8"/>
  <c r="R25" i="8" a="1"/>
  <c r="R25" i="8"/>
  <c r="I26" i="8"/>
  <c r="J26" i="8"/>
  <c r="K26" i="8"/>
  <c r="L26" i="8"/>
  <c r="M26" i="8"/>
  <c r="P26" i="8"/>
  <c r="Q26" i="8"/>
  <c r="R26" i="8" a="1"/>
  <c r="R26" i="8"/>
  <c r="I27" i="8"/>
  <c r="J27" i="8"/>
  <c r="K27" i="8"/>
  <c r="L27" i="8"/>
  <c r="M27" i="8"/>
  <c r="P27" i="8"/>
  <c r="Q27" i="8"/>
  <c r="R27" i="8" a="1"/>
  <c r="R27" i="8"/>
  <c r="I30" i="8"/>
  <c r="J30" i="8"/>
  <c r="K30" i="8"/>
  <c r="L30" i="8"/>
  <c r="M30" i="8"/>
  <c r="P30" i="8"/>
  <c r="Q30" i="8"/>
  <c r="R30" i="8" a="1"/>
  <c r="R30" i="8"/>
  <c r="I31" i="8"/>
  <c r="J31" i="8"/>
  <c r="K31" i="8"/>
  <c r="L31" i="8"/>
  <c r="M31" i="8"/>
  <c r="P31" i="8"/>
  <c r="Q31" i="8"/>
  <c r="R31" i="8" a="1"/>
  <c r="R31" i="8"/>
  <c r="I32" i="8"/>
  <c r="J32" i="8"/>
  <c r="K32" i="8"/>
  <c r="L32" i="8"/>
  <c r="M32" i="8"/>
  <c r="P32" i="8"/>
  <c r="Q32" i="8"/>
  <c r="R32" i="8" a="1"/>
  <c r="R32" i="8"/>
  <c r="I35" i="8"/>
  <c r="J35" i="8"/>
  <c r="K35" i="8"/>
  <c r="L35" i="8"/>
  <c r="M35" i="8"/>
  <c r="P35" i="8"/>
  <c r="Q35" i="8"/>
  <c r="R35" i="8" a="1"/>
  <c r="R35" i="8"/>
  <c r="I46" i="8"/>
  <c r="J46" i="8"/>
  <c r="K46" i="8"/>
  <c r="L46" i="8"/>
  <c r="M46" i="8"/>
  <c r="P46" i="8"/>
  <c r="Q46" i="8"/>
  <c r="R46" i="8" a="1"/>
  <c r="R46" i="8"/>
  <c r="I47" i="8"/>
  <c r="J47" i="8"/>
  <c r="K47" i="8"/>
  <c r="L47" i="8"/>
  <c r="M47" i="8"/>
  <c r="P47" i="8"/>
  <c r="Q47" i="8"/>
  <c r="R47" i="8" a="1"/>
  <c r="R47" i="8"/>
  <c r="I52" i="8"/>
  <c r="J52" i="8"/>
  <c r="K52" i="8"/>
  <c r="L52" i="8"/>
  <c r="M52" i="8"/>
  <c r="P52" i="8"/>
  <c r="Q52" i="8"/>
  <c r="R52" i="8" a="1"/>
  <c r="R52" i="8"/>
  <c r="I62" i="8"/>
  <c r="J62" i="8"/>
  <c r="K62" i="8"/>
  <c r="L62" i="8"/>
  <c r="M62" i="8"/>
  <c r="P62" i="8"/>
  <c r="Q62" i="8"/>
  <c r="R62" i="8" a="1"/>
  <c r="R62" i="8"/>
  <c r="I64" i="8"/>
  <c r="J64" i="8"/>
  <c r="K64" i="8"/>
  <c r="L64" i="8"/>
  <c r="M64" i="8"/>
  <c r="P64" i="8"/>
  <c r="Q64" i="8"/>
  <c r="R64" i="8" a="1"/>
  <c r="R64" i="8"/>
  <c r="I65" i="8"/>
  <c r="J65" i="8"/>
  <c r="K65" i="8"/>
  <c r="L65" i="8"/>
  <c r="M65" i="8"/>
  <c r="P65" i="8"/>
  <c r="Q65" i="8"/>
  <c r="R65" i="8" a="1"/>
  <c r="R65" i="8"/>
  <c r="J69" i="8"/>
  <c r="K69" i="8"/>
  <c r="L69" i="8"/>
  <c r="M69" i="8"/>
  <c r="P69" i="8"/>
  <c r="Q69" i="8"/>
  <c r="R69" i="8" a="1"/>
  <c r="R69" i="8"/>
  <c r="I70" i="8"/>
  <c r="J70" i="8"/>
  <c r="K70" i="8"/>
  <c r="L70" i="8"/>
  <c r="M70" i="8"/>
  <c r="P70" i="8"/>
  <c r="Q70" i="8"/>
  <c r="R70" i="8" a="1"/>
  <c r="R70" i="8"/>
  <c r="I71" i="8"/>
  <c r="J71" i="8"/>
  <c r="K71" i="8"/>
  <c r="L71" i="8"/>
  <c r="M71" i="8"/>
  <c r="P71" i="8"/>
  <c r="Q71" i="8"/>
  <c r="R71" i="8" a="1"/>
  <c r="R71" i="8"/>
  <c r="I82" i="8"/>
  <c r="J82" i="8"/>
  <c r="K82" i="8"/>
  <c r="L82" i="8"/>
  <c r="M82" i="8"/>
  <c r="P82" i="8"/>
  <c r="Q82" i="8"/>
  <c r="R82" i="8" a="1"/>
  <c r="R82" i="8"/>
  <c r="I85" i="8"/>
  <c r="J85" i="8"/>
  <c r="K85" i="8"/>
  <c r="L85" i="8"/>
  <c r="M85" i="8"/>
  <c r="P85" i="8"/>
  <c r="Q85" i="8"/>
  <c r="R85" i="8" a="1"/>
  <c r="R85" i="8"/>
  <c r="I90" i="8"/>
  <c r="J90" i="8"/>
  <c r="K90" i="8"/>
  <c r="L90" i="8"/>
  <c r="M90" i="8"/>
  <c r="P90" i="8"/>
  <c r="Q90" i="8"/>
  <c r="R90" i="8" a="1"/>
  <c r="R90" i="8"/>
  <c r="I96" i="8"/>
  <c r="J96" i="8"/>
  <c r="K96" i="8"/>
  <c r="L96" i="8"/>
  <c r="M96" i="8"/>
  <c r="P96" i="8"/>
  <c r="Q96" i="8"/>
  <c r="R96" i="8" a="1"/>
  <c r="R96" i="8"/>
  <c r="I97" i="8"/>
  <c r="J97" i="8"/>
  <c r="K97" i="8"/>
  <c r="L97" i="8"/>
  <c r="M97" i="8"/>
  <c r="P97" i="8"/>
  <c r="Q97" i="8"/>
  <c r="R97" i="8" a="1"/>
  <c r="R97" i="8"/>
  <c r="I99" i="8"/>
  <c r="J99" i="8"/>
  <c r="K99" i="8"/>
  <c r="L99" i="8"/>
  <c r="M99" i="8"/>
  <c r="P99" i="8"/>
  <c r="Q99" i="8"/>
  <c r="R99" i="8" a="1"/>
  <c r="R99" i="8"/>
  <c r="I101" i="8"/>
  <c r="J101" i="8"/>
  <c r="K101" i="8"/>
  <c r="L101" i="8"/>
  <c r="M101" i="8"/>
  <c r="P101" i="8"/>
  <c r="Q101" i="8"/>
  <c r="R101" i="8" a="1"/>
  <c r="R101" i="8"/>
  <c r="I107" i="8"/>
  <c r="J107" i="8"/>
  <c r="K107" i="8"/>
  <c r="L107" i="8"/>
  <c r="M107" i="8"/>
  <c r="P107" i="8"/>
  <c r="Q107" i="8"/>
  <c r="R107" i="8" a="1"/>
  <c r="R107" i="8"/>
  <c r="I108" i="8"/>
  <c r="J108" i="8"/>
  <c r="K108" i="8"/>
  <c r="L108" i="8"/>
  <c r="M108" i="8"/>
  <c r="P108" i="8"/>
  <c r="Q108" i="8"/>
  <c r="R108" i="8" a="1"/>
  <c r="R108" i="8"/>
  <c r="I111" i="8"/>
  <c r="J111" i="8"/>
  <c r="K111" i="8"/>
  <c r="L111" i="8"/>
  <c r="M111" i="8"/>
  <c r="P111" i="8"/>
  <c r="Q111" i="8"/>
  <c r="R111" i="8" a="1"/>
  <c r="R111" i="8"/>
  <c r="I114" i="8"/>
  <c r="J114" i="8"/>
  <c r="K114" i="8"/>
  <c r="L114" i="8"/>
  <c r="M114" i="8"/>
  <c r="I313" i="8"/>
  <c r="J313" i="8"/>
  <c r="K313" i="8"/>
  <c r="L313" i="8"/>
  <c r="M313" i="8"/>
  <c r="I314" i="8"/>
  <c r="J314" i="8"/>
  <c r="K314" i="8"/>
  <c r="L314" i="8"/>
  <c r="M314" i="8"/>
  <c r="D317" i="8"/>
  <c r="I321" i="8"/>
  <c r="J321" i="8"/>
  <c r="K321" i="8"/>
  <c r="L321" i="8"/>
  <c r="M321" i="8"/>
  <c r="I324" i="8"/>
  <c r="J324" i="8"/>
  <c r="K324" i="8"/>
  <c r="L324" i="8"/>
  <c r="M324" i="8"/>
  <c r="I327" i="8"/>
  <c r="J327" i="8"/>
  <c r="K327" i="8"/>
  <c r="L327" i="8"/>
  <c r="M327" i="8"/>
  <c r="I328" i="8"/>
  <c r="J328" i="8"/>
  <c r="K328" i="8"/>
  <c r="L328" i="8"/>
  <c r="M328" i="8"/>
  <c r="I329" i="8"/>
  <c r="J329" i="8"/>
  <c r="K329" i="8"/>
  <c r="L329" i="8"/>
  <c r="M329" i="8"/>
  <c r="J332" i="8"/>
  <c r="K332" i="8"/>
  <c r="L332" i="8"/>
  <c r="M332" i="8"/>
  <c r="I333" i="8"/>
  <c r="J333" i="8"/>
  <c r="K333" i="8"/>
  <c r="L333" i="8"/>
  <c r="M333" i="8"/>
  <c r="I334" i="8"/>
  <c r="J334" i="8"/>
  <c r="K334" i="8"/>
  <c r="L334" i="8"/>
  <c r="M334" i="8"/>
  <c r="I335" i="8"/>
  <c r="J335" i="8"/>
  <c r="K335" i="8"/>
  <c r="L335" i="8"/>
  <c r="M335" i="8"/>
  <c r="I340" i="8"/>
  <c r="J340" i="8"/>
  <c r="K340" i="8"/>
  <c r="L340" i="8"/>
  <c r="M340" i="8"/>
  <c r="I341" i="8"/>
  <c r="J341" i="8"/>
  <c r="K341" i="8"/>
  <c r="L341" i="8"/>
  <c r="M341" i="8"/>
  <c r="I342" i="8"/>
  <c r="J342" i="8"/>
  <c r="K342" i="8"/>
  <c r="L342" i="8"/>
  <c r="M342" i="8"/>
  <c r="J358" i="8"/>
  <c r="K358" i="8"/>
  <c r="L358" i="8"/>
  <c r="M358" i="8"/>
  <c r="P358" i="8"/>
  <c r="Q358" i="8"/>
  <c r="R358" i="8" a="1"/>
  <c r="R358" i="8"/>
  <c r="I359" i="8"/>
  <c r="J359" i="8"/>
  <c r="K359" i="8"/>
  <c r="L359" i="8"/>
  <c r="M359" i="8"/>
  <c r="P359" i="8"/>
  <c r="Q359" i="8"/>
  <c r="R359" i="8" a="1"/>
  <c r="R359" i="8"/>
  <c r="I360" i="8"/>
  <c r="J360" i="8"/>
  <c r="K360" i="8"/>
  <c r="L360" i="8"/>
  <c r="M360" i="8"/>
  <c r="P360" i="8"/>
  <c r="Q360" i="8"/>
  <c r="R360" i="8" a="1"/>
  <c r="R360" i="8"/>
  <c r="J363" i="8"/>
  <c r="K363" i="8"/>
  <c r="L363" i="8"/>
  <c r="M363" i="8"/>
  <c r="P363" i="8"/>
  <c r="Q363" i="8"/>
  <c r="R363" i="8" a="1"/>
  <c r="R363" i="8"/>
  <c r="J389" i="8"/>
  <c r="K389" i="8"/>
  <c r="L389" i="8"/>
  <c r="M389" i="8"/>
  <c r="P389" i="8"/>
  <c r="Q389" i="8"/>
  <c r="R389" i="8" a="1"/>
  <c r="R389" i="8"/>
  <c r="I390" i="8"/>
  <c r="J390" i="8"/>
  <c r="K390" i="8"/>
  <c r="L390" i="8"/>
  <c r="M390" i="8"/>
  <c r="P390" i="8"/>
  <c r="Q390" i="8"/>
  <c r="R390" i="8" a="1"/>
  <c r="R390" i="8"/>
  <c r="I394" i="8"/>
  <c r="J394" i="8"/>
  <c r="K394" i="8"/>
  <c r="L394" i="8"/>
  <c r="M394" i="8"/>
  <c r="P394" i="8"/>
  <c r="Q394" i="8"/>
  <c r="R394" i="8" a="1"/>
  <c r="R394" i="8"/>
  <c r="I395" i="8"/>
  <c r="J395" i="8"/>
  <c r="K395" i="8"/>
  <c r="L395" i="8"/>
  <c r="M395" i="8"/>
  <c r="P395" i="8"/>
  <c r="Q395" i="8"/>
  <c r="R395" i="8" a="1"/>
  <c r="R395" i="8"/>
  <c r="J402" i="8"/>
  <c r="K402" i="8"/>
  <c r="L402" i="8"/>
  <c r="M402" i="8"/>
  <c r="P402" i="8"/>
  <c r="Q402" i="8"/>
  <c r="R402" i="8" a="1"/>
  <c r="R402" i="8"/>
  <c r="I403" i="8"/>
  <c r="J403" i="8"/>
  <c r="K403" i="8"/>
  <c r="L403" i="8"/>
  <c r="M403" i="8"/>
  <c r="P403" i="8"/>
  <c r="Q403" i="8"/>
  <c r="R403" i="8" a="1"/>
  <c r="R403" i="8"/>
  <c r="I404" i="8"/>
  <c r="J404" i="8"/>
  <c r="K404" i="8"/>
  <c r="L404" i="8"/>
  <c r="M404" i="8"/>
  <c r="P404" i="8"/>
  <c r="Q404" i="8"/>
  <c r="R404" i="8" a="1"/>
  <c r="R404" i="8"/>
  <c r="J407" i="8"/>
  <c r="K407" i="8"/>
  <c r="L407" i="8"/>
  <c r="M407" i="8"/>
  <c r="P407" i="8"/>
  <c r="Q407" i="8"/>
  <c r="R407" i="8" a="1"/>
  <c r="R407" i="8"/>
  <c r="I411" i="8"/>
  <c r="J411" i="8"/>
  <c r="K411" i="8"/>
  <c r="L411" i="8"/>
  <c r="M411" i="8"/>
  <c r="P411" i="8"/>
  <c r="Q411" i="8"/>
  <c r="R411" i="8" a="1"/>
  <c r="R411" i="8"/>
  <c r="I412" i="8"/>
  <c r="J412" i="8"/>
  <c r="K412" i="8"/>
  <c r="L412" i="8"/>
  <c r="M412" i="8"/>
  <c r="P412" i="8"/>
  <c r="Q412" i="8"/>
  <c r="R412" i="8" a="1"/>
  <c r="R412" i="8"/>
  <c r="I413" i="8"/>
  <c r="J413" i="8"/>
  <c r="K413" i="8"/>
  <c r="L413" i="8"/>
  <c r="M413" i="8"/>
  <c r="P413" i="8"/>
  <c r="Q413" i="8"/>
  <c r="R413" i="8" a="1"/>
  <c r="R413" i="8"/>
  <c r="I431" i="8"/>
  <c r="J431" i="8"/>
  <c r="K431" i="8"/>
  <c r="L431" i="8"/>
  <c r="M431" i="8"/>
  <c r="P431" i="8"/>
  <c r="Q431" i="8"/>
  <c r="R431" i="8" a="1"/>
  <c r="R431" i="8"/>
  <c r="I433" i="8"/>
  <c r="J433" i="8"/>
  <c r="K433" i="8"/>
  <c r="L433" i="8"/>
  <c r="M433" i="8"/>
  <c r="P433" i="8"/>
  <c r="Q433" i="8"/>
  <c r="R433" i="8" a="1"/>
  <c r="R433" i="8"/>
  <c r="J440" i="8"/>
  <c r="K440" i="8"/>
  <c r="L440" i="8"/>
  <c r="M440" i="8"/>
  <c r="P440" i="8"/>
  <c r="Q440" i="8"/>
  <c r="R440" i="8" a="1"/>
  <c r="R440" i="8"/>
  <c r="I441" i="8"/>
  <c r="J441" i="8"/>
  <c r="K441" i="8"/>
  <c r="L441" i="8"/>
  <c r="M441" i="8"/>
  <c r="P441" i="8"/>
  <c r="Q441" i="8"/>
  <c r="R441" i="8" a="1"/>
  <c r="R441" i="8"/>
  <c r="I442" i="8"/>
  <c r="J442" i="8"/>
  <c r="K442" i="8"/>
  <c r="L442" i="8"/>
  <c r="M442" i="8"/>
  <c r="P442" i="8"/>
  <c r="Q442" i="8"/>
  <c r="R442" i="8" a="1"/>
  <c r="R442" i="8"/>
  <c r="I443" i="8"/>
  <c r="J443" i="8"/>
  <c r="K443" i="8"/>
  <c r="L443" i="8"/>
  <c r="M443" i="8"/>
  <c r="P443" i="8"/>
  <c r="Q443" i="8"/>
  <c r="R443" i="8" a="1"/>
  <c r="R443" i="8"/>
  <c r="K15" i="3"/>
  <c r="L15" i="3"/>
  <c r="M15" i="3"/>
  <c r="N15" i="3"/>
  <c r="O15" i="3"/>
  <c r="K21" i="3"/>
  <c r="L21" i="3"/>
  <c r="M21" i="3"/>
  <c r="N21" i="3"/>
  <c r="O21" i="3"/>
  <c r="K23" i="3"/>
  <c r="L23" i="3"/>
  <c r="M23" i="3"/>
  <c r="N23" i="3"/>
  <c r="O23" i="3"/>
  <c r="K16" i="4"/>
  <c r="L16" i="4"/>
  <c r="M16" i="4"/>
  <c r="N16" i="4"/>
  <c r="O16" i="4"/>
  <c r="K17" i="4"/>
  <c r="L17" i="4"/>
  <c r="M17" i="4"/>
  <c r="N17" i="4"/>
  <c r="O17" i="4"/>
  <c r="S17" i="4"/>
  <c r="K22" i="4"/>
  <c r="L22" i="4"/>
  <c r="M22" i="4"/>
  <c r="N22" i="4"/>
  <c r="O22" i="4"/>
  <c r="K24" i="4"/>
  <c r="L24" i="4"/>
  <c r="M24" i="4"/>
  <c r="N24" i="4"/>
  <c r="O24" i="4"/>
  <c r="K25" i="4"/>
  <c r="L25" i="4"/>
  <c r="M25" i="4"/>
  <c r="N25" i="4"/>
  <c r="O25" i="4"/>
  <c r="S2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<sst xmlns="http://schemas.openxmlformats.org/spreadsheetml/2006/main" count="791" uniqueCount="220">
  <si>
    <t xml:space="preserve"> </t>
  </si>
  <si>
    <t>Circularity</t>
  </si>
  <si>
    <t>Unused Tax Losses Remaining?</t>
  </si>
  <si>
    <t>CASH FLOW STATEMENT</t>
  </si>
  <si>
    <t>INCOME STATEMENT</t>
  </si>
  <si>
    <t>Change in Cash</t>
  </si>
  <si>
    <t>Financing</t>
  </si>
  <si>
    <t>Investing</t>
  </si>
  <si>
    <t>Operating</t>
  </si>
  <si>
    <t>Net Income Margin</t>
  </si>
  <si>
    <t>Net Income</t>
  </si>
  <si>
    <t>EBITDA Margin</t>
  </si>
  <si>
    <t>EBITDA</t>
  </si>
  <si>
    <t>Revenue</t>
  </si>
  <si>
    <t>Driver Switch</t>
  </si>
  <si>
    <t>All figures in USD thousands unless stated</t>
  </si>
  <si>
    <t>Dashboard: Charts &amp; Graphs</t>
  </si>
  <si>
    <t>Compare</t>
  </si>
  <si>
    <t>Correct</t>
  </si>
  <si>
    <t>Learner</t>
  </si>
  <si>
    <t>(Years)</t>
  </si>
  <si>
    <t>Useful Life: New Assets</t>
  </si>
  <si>
    <t>Long Term Debt</t>
  </si>
  <si>
    <t>Useful Life: Existing Assets</t>
  </si>
  <si>
    <t>Revolving Credit Line</t>
  </si>
  <si>
    <t>First Year Accounting Depreciation</t>
  </si>
  <si>
    <t>Cash Balances</t>
  </si>
  <si>
    <t>Depreciation</t>
  </si>
  <si>
    <t>Interest Rates</t>
  </si>
  <si>
    <t>Dividend Payout Ratio</t>
  </si>
  <si>
    <t>(Units/Day)</t>
  </si>
  <si>
    <t>Plant Capacity</t>
  </si>
  <si>
    <t>Tax Losses</t>
  </si>
  <si>
    <t>Other Single Inputs</t>
  </si>
  <si>
    <t>Tax Basis for Assets</t>
  </si>
  <si>
    <t>Blended Tax Depreciation Rate</t>
  </si>
  <si>
    <t>First Year Tax Depreciation</t>
  </si>
  <si>
    <t>Days in Period</t>
  </si>
  <si>
    <t>Tax Rate</t>
  </si>
  <si>
    <t>(YYYY)</t>
  </si>
  <si>
    <t>First Year of Forecast</t>
  </si>
  <si>
    <t>Taxes</t>
  </si>
  <si>
    <t>Dates</t>
  </si>
  <si>
    <t>Increase / (Decrease)</t>
  </si>
  <si>
    <t>Common Equity</t>
  </si>
  <si>
    <t>Term Debt</t>
  </si>
  <si>
    <t>Inflation Rate</t>
  </si>
  <si>
    <t>Other Annual Inputs</t>
  </si>
  <si>
    <t>(Days)</t>
  </si>
  <si>
    <t>Accounts Payable</t>
  </si>
  <si>
    <t>Inventory</t>
  </si>
  <si>
    <t>Accounts Receivable</t>
  </si>
  <si>
    <t>Working Capital</t>
  </si>
  <si>
    <t>Other Inputs</t>
  </si>
  <si>
    <t>Capital Expenditure</t>
  </si>
  <si>
    <t>Pricing Increases</t>
  </si>
  <si>
    <t>Worst Case</t>
  </si>
  <si>
    <t>Base Case</t>
  </si>
  <si>
    <t>Best Case</t>
  </si>
  <si>
    <t>Sales Volume Growth</t>
  </si>
  <si>
    <t>Drivers</t>
  </si>
  <si>
    <t>Ending Balance</t>
  </si>
  <si>
    <t>Dividends</t>
  </si>
  <si>
    <t>Beginning Balance</t>
  </si>
  <si>
    <t>RETAINED EARNINGS</t>
  </si>
  <si>
    <t>Dividend</t>
  </si>
  <si>
    <t>Payout Ratio</t>
  </si>
  <si>
    <t>COMMON EQUITY</t>
  </si>
  <si>
    <t>Equity Schedule</t>
  </si>
  <si>
    <t>Net Interest Expense</t>
  </si>
  <si>
    <t>Less: Interest Income</t>
  </si>
  <si>
    <t>Interest Expense</t>
  </si>
  <si>
    <t>Interest Rate</t>
  </si>
  <si>
    <t>REVOLVING CREDIT LINE</t>
  </si>
  <si>
    <t>Cash Available for Revolving Credit Line</t>
  </si>
  <si>
    <t>Change in Common Equity</t>
  </si>
  <si>
    <t>Change in Long-Term Debt</t>
  </si>
  <si>
    <t>Cash from Investing</t>
  </si>
  <si>
    <t>Cash from Operations</t>
  </si>
  <si>
    <t>Beginning Cash Balance</t>
  </si>
  <si>
    <t>AVAILABLE CASH</t>
  </si>
  <si>
    <t>Debt Schedule: Part 2</t>
  </si>
  <si>
    <t>LONG TERM DEBT</t>
  </si>
  <si>
    <t>Interest Income</t>
  </si>
  <si>
    <t>CASH</t>
  </si>
  <si>
    <t>Debt Schedule: Part 1</t>
  </si>
  <si>
    <t xml:space="preserve">This schedule assumes losses do not carry back to previous periods to reduce taxable income. </t>
  </si>
  <si>
    <t xml:space="preserve">This schedule assumes that tax losses can be carried forward indefinitely into the future. </t>
  </si>
  <si>
    <t>Total Taxes</t>
  </si>
  <si>
    <t>Deferred Taxes</t>
  </si>
  <si>
    <t>Current Taxes</t>
  </si>
  <si>
    <t>TAXES</t>
  </si>
  <si>
    <t>Ending</t>
  </si>
  <si>
    <t>Less: Use of Tax Losses</t>
  </si>
  <si>
    <t>Add: New Losses</t>
  </si>
  <si>
    <t>Beginning</t>
  </si>
  <si>
    <t>TAX LOSSES</t>
  </si>
  <si>
    <t>Taxable Income</t>
  </si>
  <si>
    <r>
      <t xml:space="preserve">Less: Use of Tax Losses </t>
    </r>
    <r>
      <rPr>
        <vertAlign val="superscript"/>
        <sz val="10"/>
        <rFont val="Open Sans"/>
        <family val="2"/>
      </rPr>
      <t>2</t>
    </r>
  </si>
  <si>
    <t>EBT After Adjustment</t>
  </si>
  <si>
    <r>
      <t xml:space="preserve">ADJUSTMENT FOR TAX LOSSES </t>
    </r>
    <r>
      <rPr>
        <b/>
        <vertAlign val="superscript"/>
        <sz val="10"/>
        <rFont val="Open Sans"/>
        <family val="2"/>
      </rPr>
      <t>1</t>
    </r>
  </si>
  <si>
    <t>Less: Tax Depreciation</t>
  </si>
  <si>
    <t>Add: Accounting Depreciation</t>
  </si>
  <si>
    <t>EBT</t>
  </si>
  <si>
    <t>ADJUSTMENT FOR DEPRECIATION</t>
  </si>
  <si>
    <t>Profitable Before Taxes?</t>
  </si>
  <si>
    <t>Earnings Before Tax (EBT)</t>
  </si>
  <si>
    <t>Income Tax Schedule</t>
  </si>
  <si>
    <t xml:space="preserve">Model assumes no dispositions that would impact the PP&amp;E or the Tax Basis. </t>
  </si>
  <si>
    <t>Tax Depreciation</t>
  </si>
  <si>
    <r>
      <t xml:space="preserve">TAX BASIS </t>
    </r>
    <r>
      <rPr>
        <b/>
        <vertAlign val="superscript"/>
        <sz val="10"/>
        <rFont val="Open Sans"/>
        <family val="2"/>
      </rPr>
      <t>1</t>
    </r>
  </si>
  <si>
    <t>Accounting Depreciation</t>
  </si>
  <si>
    <r>
      <t xml:space="preserve">PROPERTY PLANT &amp; EQUIPMENT </t>
    </r>
    <r>
      <rPr>
        <b/>
        <vertAlign val="superscript"/>
        <sz val="10"/>
        <rFont val="Open Sans"/>
        <family val="2"/>
      </rPr>
      <t>1</t>
    </r>
  </si>
  <si>
    <t>Asset Schedule</t>
  </si>
  <si>
    <t xml:space="preserve">This schedule calculates depreciation on a straight-line basis. </t>
  </si>
  <si>
    <t xml:space="preserve">All PP&amp;E and capital expenditure is assumed depreciable (i.e. no land balance). </t>
  </si>
  <si>
    <t>Total Depreciation</t>
  </si>
  <si>
    <t>New Assets</t>
  </si>
  <si>
    <t>Existing Assets</t>
  </si>
  <si>
    <r>
      <t xml:space="preserve">TOTAL ASSET DEPRECIATION </t>
    </r>
    <r>
      <rPr>
        <b/>
        <vertAlign val="superscript"/>
        <sz val="9"/>
        <rFont val="Open Sans"/>
        <family val="2"/>
      </rPr>
      <t>2</t>
    </r>
  </si>
  <si>
    <t>Per Yr</t>
  </si>
  <si>
    <t>Capex</t>
  </si>
  <si>
    <t>Year</t>
  </si>
  <si>
    <t>Amounts for Depreciation</t>
  </si>
  <si>
    <t>First Year Amount</t>
  </si>
  <si>
    <t>Useful Life</t>
  </si>
  <si>
    <t>Life</t>
  </si>
  <si>
    <r>
      <t xml:space="preserve">NEW ASSETS </t>
    </r>
    <r>
      <rPr>
        <b/>
        <vertAlign val="superscript"/>
        <sz val="10"/>
        <rFont val="Open Sans"/>
        <family val="2"/>
      </rPr>
      <t>1</t>
    </r>
  </si>
  <si>
    <t>Percent of Full Year</t>
  </si>
  <si>
    <t>PP&amp;E</t>
  </si>
  <si>
    <r>
      <t xml:space="preserve">EXISTING ASSETS </t>
    </r>
    <r>
      <rPr>
        <b/>
        <vertAlign val="superscript"/>
        <sz val="10"/>
        <rFont val="Open Sans"/>
        <family val="2"/>
      </rPr>
      <t>1</t>
    </r>
  </si>
  <si>
    <t xml:space="preserve">Capital Expenditure </t>
  </si>
  <si>
    <t>Depreciation Schedule</t>
  </si>
  <si>
    <t>Cash from Working Capital Items</t>
  </si>
  <si>
    <t>CASH CHANGES</t>
  </si>
  <si>
    <t>TOTAL AMOUNTS</t>
  </si>
  <si>
    <t>AMOUNTS PER DAY</t>
  </si>
  <si>
    <t>COGS</t>
  </si>
  <si>
    <t>Working Capital Schedule</t>
  </si>
  <si>
    <t>Total Costs</t>
  </si>
  <si>
    <t>Fixed Costs</t>
  </si>
  <si>
    <t>Variable Costs</t>
  </si>
  <si>
    <t>(USD/Unit)</t>
  </si>
  <si>
    <t>SUMMARY</t>
  </si>
  <si>
    <t>Subtotal</t>
  </si>
  <si>
    <t>Utilities</t>
  </si>
  <si>
    <t>Labor</t>
  </si>
  <si>
    <t>FIXED COSTS</t>
  </si>
  <si>
    <t>Packaging</t>
  </si>
  <si>
    <t>Materials</t>
  </si>
  <si>
    <t>VARIABLE COSTS</t>
  </si>
  <si>
    <t>Inflation</t>
  </si>
  <si>
    <t>Sales Volume</t>
  </si>
  <si>
    <t>Cost Schedule</t>
  </si>
  <si>
    <t>Operational Capacity Exceeded?</t>
  </si>
  <si>
    <t>Sales Price</t>
  </si>
  <si>
    <t>(Units)</t>
  </si>
  <si>
    <t>REVENUE</t>
  </si>
  <si>
    <t>Unit Price</t>
  </si>
  <si>
    <t>PRICING</t>
  </si>
  <si>
    <t>VOLUME</t>
  </si>
  <si>
    <t>Operational Efficiency</t>
  </si>
  <si>
    <t>OPERATIONS</t>
  </si>
  <si>
    <t>Revenue Schedule</t>
  </si>
  <si>
    <t>Check</t>
  </si>
  <si>
    <t>Total Liabilities &amp; Equity</t>
  </si>
  <si>
    <t>Total Shareholders' Equity</t>
  </si>
  <si>
    <t>Retained Earnings</t>
  </si>
  <si>
    <t>EQUITY</t>
  </si>
  <si>
    <t>Total Liabilities</t>
  </si>
  <si>
    <t>Long-Term Debt</t>
  </si>
  <si>
    <t>Total Current Liabilities</t>
  </si>
  <si>
    <t>LIABILITIES</t>
  </si>
  <si>
    <t>Total Assets</t>
  </si>
  <si>
    <t>Property Plant &amp; Equipment</t>
  </si>
  <si>
    <t>Total Current Assets</t>
  </si>
  <si>
    <t>Inventories</t>
  </si>
  <si>
    <t>Cash</t>
  </si>
  <si>
    <t>ASSETS</t>
  </si>
  <si>
    <t>Balance Sheet</t>
  </si>
  <si>
    <t>End of the Year</t>
  </si>
  <si>
    <t>Beginning of the Year</t>
  </si>
  <si>
    <t>CASH BALANCE</t>
  </si>
  <si>
    <t/>
  </si>
  <si>
    <t>Change in Revolving Credit Line</t>
  </si>
  <si>
    <t>CASH FROM FINANCING</t>
  </si>
  <si>
    <t>CASH FROM INVESTING</t>
  </si>
  <si>
    <t>Cash From Accounts Payable</t>
  </si>
  <si>
    <t>Cash From Inventory</t>
  </si>
  <si>
    <t>Cash From Accounts Receivable</t>
  </si>
  <si>
    <t>CASH FROM OPERATING</t>
  </si>
  <si>
    <t>Cash Flow Statement</t>
  </si>
  <si>
    <t>Total Tax</t>
  </si>
  <si>
    <t>Deferred Tax</t>
  </si>
  <si>
    <t>Current Tax</t>
  </si>
  <si>
    <t>EBIT</t>
  </si>
  <si>
    <t>Other</t>
  </si>
  <si>
    <t>SG&amp;A</t>
  </si>
  <si>
    <t>Gross Profit</t>
  </si>
  <si>
    <t>Income Statement</t>
  </si>
  <si>
    <r>
      <t xml:space="preserve">EXISTING ASSETS </t>
    </r>
    <r>
      <rPr>
        <b/>
        <vertAlign val="superscript"/>
        <sz val="11"/>
        <rFont val="Times New Roman"/>
        <family val="1"/>
      </rPr>
      <t>1</t>
    </r>
  </si>
  <si>
    <r>
      <t xml:space="preserve">NEW ASSETS </t>
    </r>
    <r>
      <rPr>
        <b/>
        <vertAlign val="superscript"/>
        <sz val="11"/>
        <rFont val="Times New Roman"/>
        <family val="1"/>
      </rPr>
      <t>1</t>
    </r>
  </si>
  <si>
    <r>
      <t xml:space="preserve">TOTAL ASSET DEPRECIATION </t>
    </r>
    <r>
      <rPr>
        <b/>
        <vertAlign val="superscript"/>
        <sz val="11"/>
        <rFont val="Times New Roman"/>
        <family val="1"/>
      </rPr>
      <t>2</t>
    </r>
  </si>
  <si>
    <r>
      <t xml:space="preserve">PROPERTY PLANT &amp; EQUIPMENT </t>
    </r>
    <r>
      <rPr>
        <b/>
        <vertAlign val="superscript"/>
        <sz val="11"/>
        <rFont val="Times New Roman"/>
        <family val="1"/>
      </rPr>
      <t>1</t>
    </r>
  </si>
  <si>
    <r>
      <t xml:space="preserve">TAX BASIS </t>
    </r>
    <r>
      <rPr>
        <b/>
        <vertAlign val="superscript"/>
        <sz val="11"/>
        <rFont val="Times New Roman"/>
        <family val="1"/>
      </rPr>
      <t>1</t>
    </r>
  </si>
  <si>
    <r>
      <t xml:space="preserve">ADJUSTMENT FOR TAX LOSSES </t>
    </r>
    <r>
      <rPr>
        <b/>
        <vertAlign val="superscript"/>
        <sz val="11"/>
        <rFont val="Times New Roman"/>
        <family val="1"/>
      </rPr>
      <t>1</t>
    </r>
  </si>
  <si>
    <r>
      <t xml:space="preserve">Less: Use of Tax Losses </t>
    </r>
    <r>
      <rPr>
        <vertAlign val="superscript"/>
        <sz val="11"/>
        <rFont val="Times New Roman"/>
        <family val="1"/>
      </rPr>
      <t>2</t>
    </r>
  </si>
  <si>
    <t>Cover Page</t>
  </si>
  <si>
    <t>Topic</t>
  </si>
  <si>
    <t>3 Statement Modeling</t>
  </si>
  <si>
    <t>Financial Modeling</t>
  </si>
  <si>
    <t>Author</t>
  </si>
  <si>
    <t>Md Fozley Elahi</t>
  </si>
  <si>
    <t>MBA Candidate- 2027</t>
  </si>
  <si>
    <t>Miami Herbert Business School</t>
  </si>
  <si>
    <t>University of Miami</t>
  </si>
  <si>
    <t xml:space="preserve">LinkedIn: </t>
  </si>
  <si>
    <t>https://www.linkedin.com/in/mdfozleyelahi</t>
  </si>
  <si>
    <t>Website:</t>
  </si>
  <si>
    <t>https://fozleyelahi.com/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</si>
</sst>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164" formatCode="_(#,##0_)_%;\(#,##0\)_%;_(&quot;–&quot;_)_%;_(@_)_%"/>
    <numFmt numFmtId="165" formatCode="&quot;Yes&quot;;&quot;ERROR&quot;;&quot;No&quot;;&quot;ERROR&quot;"/>
    <numFmt numFmtId="167" formatCode="[=1]&quot;☑️&quot;_);[=0]&quot;⬜&quot;_)"/>
    <numFmt numFmtId="168" formatCode="_(#,##0_);\(#,##0\);_(&quot;–&quot;_);_(@_)"/>
    <numFmt numFmtId="169" formatCode="_(#,##0.0%_);\(#,##0.0%\);_(&quot;–&quot;_)_%;_(@_)_%"/>
    <numFmt numFmtId="170" formatCode="0.0%"/>
    <numFmt numFmtId="171" formatCode="yyyy/mm/dd;@"/>
    <numFmt numFmtId="172" formatCode="0&quot;F&quot;"/>
    <numFmt numFmtId="173" formatCode="0000\A"/>
    <numFmt numFmtId="174" formatCode="0&quot;A&quot;"/>
    <numFmt numFmtId="175" formatCode="_(#,##0.0_);\(#,##0.0\);_(&quot;–&quot;_);_(@_)"/>
    <numFmt numFmtId="176" formatCode="_(#,##0.0%_);\(#,##0.0%\);_(&quot;–&quot;_);_(@_)"/>
    <numFmt numFmtId="177" formatCode="_-* #,##0.00_-;\-* #,##0.00_-;_-* &quot;-&quot;??_-;_-@_-"/>
    <numFmt numFmtId="178" formatCode="_(#,##0.00_);\(#,##0.00\);_(&quot;–&quot;_);_(@_)"/>
    <numFmt numFmtId="179" formatCode="_(#,##0%_);\(#,##0%\);_(&quot;–&quot;_)_%;_(@_)_%"/>
    <numFmt numFmtId="180" formatCode="_-* #,##0_-;\(#,##0\)_-;_-* &quot;-&quot;_-;_-@_-"/>
    <numFmt numFmtId="181" formatCode="0000_)"/>
    <numFmt numFmtId="182" formatCode="#,##0_);[Red]\(#,##0\);\-"/>
    <numFmt numFmtId="183" formatCode="0&quot;E&quot;"/>
    <numFmt numFmtId="184" formatCode="[=1]&quot;On&quot;_);[=2]&quot;Off&quot;_)"/>
    <numFmt numFmtId="185" formatCode="@\⁽\²\⁾"/>
    <numFmt numFmtId="186" formatCode="@\⁽\¹\⁾"/>
    <numFmt numFmtId="187" formatCode="#,##0_);\(#,##0\);\-"/>
    <numFmt numFmtId="188" formatCode="[=1]&quot;Yes&quot;_);[=0]&quot;No&quot;_)"/>
    <numFmt numFmtId="189" formatCode="#,##0.00_);\(#,##0.00\);\-"/>
    <numFmt numFmtId="190" formatCode="#,##0.0_);\(#,##0.0\);\-"/>
    <numFmt numFmtId="191" formatCode="0&quot;F&quot;\ "/>
    <numFmt numFmtId="192" formatCode="&quot;Yr&quot;\ 0"/>
    <numFmt numFmtId="193" formatCode="#,##0_)\⁽\⁹\⁾;\(#,##0\)\⁽\⁹\⁾"/>
    <numFmt numFmtId="194" formatCode="[=0]&quot;-&quot;_);[=1]&quot;Yes&quot;_)"/>
    <numFmt numFmtId="195" formatCode="_-* #,##0.00_-;\(#,##0.00\)_-;_-* &quot;-&quot;_-;_-@_-"/>
  </numFmts>
  <fonts count="88">
    <font>
      <sz val="11"/>
      <color theme="1"/>
      <name val="Calibri"/>
      <family val="2"/>
      <scheme val="minor"/>
    </font>
    <font>
      <sz val="10"/>
      <color theme="1"/>
      <name val="Open Sans"/>
      <family val="2"/>
    </font>
    <font>
      <sz val="11"/>
      <color theme="1"/>
      <name val="Calibri"/>
      <family val="2"/>
      <scheme val="minor"/>
    </font>
    <font>
      <b/>
      <sz val="10"/>
      <color theme="0"/>
      <name val="Open Sans"/>
      <family val="2"/>
    </font>
    <font>
      <sz val="10"/>
      <color rgb="FFFF0000"/>
      <name val="Open Sans"/>
      <family val="2"/>
    </font>
    <font>
      <b/>
      <sz val="10"/>
      <color theme="1"/>
      <name val="Open Sans"/>
      <family val="2"/>
    </font>
    <font>
      <sz val="10"/>
      <color theme="0"/>
      <name val="Open Sans"/>
      <family val="2"/>
    </font>
    <font>
      <sz val="11"/>
      <color theme="1"/>
      <name val="Open Sans"/>
      <family val="2"/>
    </font>
    <font>
      <u/>
      <sz val="10"/>
      <color theme="10"/>
      <name val="Arial"/>
      <family val="2"/>
    </font>
    <font>
      <sz val="12"/>
      <color theme="1"/>
      <name val="Open Sans"/>
      <family val="2"/>
    </font>
    <font>
      <b/>
      <sz val="10"/>
      <name val="Open Sans"/>
      <family val="2"/>
    </font>
    <font>
      <b/>
      <sz val="10"/>
      <color rgb="FF947131"/>
      <name val="Open Sans"/>
      <family val="2"/>
    </font>
    <font>
      <sz val="10"/>
      <name val="Open Sans"/>
      <family val="2"/>
    </font>
    <font>
      <sz val="11"/>
      <color rgb="FF3271D2"/>
      <name val="Open Sans"/>
      <family val="2"/>
    </font>
    <font>
      <sz val="11"/>
      <name val="Open Sans"/>
      <family val="2"/>
    </font>
    <font>
      <sz val="11"/>
      <color rgb="FFFA621C"/>
      <name val="Open Sans"/>
      <family val="2"/>
    </font>
    <font>
      <u/>
      <sz val="11"/>
      <color theme="10"/>
      <name val="Calibri"/>
      <family val="2"/>
      <scheme val="minor"/>
    </font>
    <font>
      <sz val="11"/>
      <name val="Arial Narrow"/>
      <family val="2"/>
    </font>
    <font>
      <sz val="8"/>
      <name val="Open Sans"/>
      <family val="2"/>
    </font>
    <font>
      <sz val="10"/>
      <name val="Arial"/>
      <family val="2"/>
    </font>
    <font>
      <sz val="8"/>
      <color rgb="FF947131"/>
      <name val="Open Sans"/>
      <family val="2"/>
    </font>
    <font>
      <sz val="10"/>
      <color rgb="FF000000"/>
      <name val="Open Sans"/>
      <family val="2"/>
    </font>
    <font>
      <i/>
      <sz val="10"/>
      <name val="Open Sans"/>
      <family val="2"/>
    </font>
    <font>
      <sz val="10"/>
      <color rgb="FF0000FF"/>
      <name val="Open Sans"/>
      <family val="2"/>
    </font>
    <font>
      <i/>
      <sz val="10"/>
      <color theme="1"/>
      <name val="Open Sans"/>
      <family val="2"/>
    </font>
    <font>
      <b/>
      <sz val="10"/>
      <color rgb="FF000000"/>
      <name val="Open Sans"/>
      <family val="2"/>
    </font>
    <font>
      <b/>
      <sz val="10"/>
      <color rgb="FF3271D2"/>
      <name val="Open Sans"/>
      <family val="2"/>
    </font>
    <font>
      <i/>
      <sz val="9"/>
      <name val="Open Sans"/>
      <family val="2"/>
    </font>
    <font>
      <b/>
      <sz val="14"/>
      <color rgb="FF3271D2"/>
      <name val="Open Sans"/>
      <family val="2"/>
    </font>
    <font>
      <b/>
      <i/>
      <sz val="10"/>
      <color theme="1"/>
      <name val="Open Sans"/>
      <family val="2"/>
    </font>
    <font>
      <sz val="10"/>
      <color rgb="FF3271D2"/>
      <name val="Open Sans"/>
      <family val="2"/>
    </font>
    <font>
      <b/>
      <sz val="14"/>
      <color theme="0"/>
      <name val="Open Sans"/>
      <family val="2"/>
    </font>
    <font>
      <i/>
      <sz val="8"/>
      <color theme="1"/>
      <name val="Open Sans"/>
      <family val="2"/>
    </font>
    <font>
      <sz val="10"/>
      <name val="Bookman"/>
      <family val="1"/>
    </font>
    <font>
      <sz val="11"/>
      <color rgb="FFC32838"/>
      <name val="Open Sans"/>
      <family val="2"/>
    </font>
    <font>
      <i/>
      <sz val="11"/>
      <color rgb="FF000000"/>
      <name val="Open Sans"/>
      <family val="2"/>
    </font>
    <font>
      <sz val="11"/>
      <color rgb="FF000000"/>
      <name val="Open Sans"/>
      <family val="2"/>
    </font>
    <font>
      <i/>
      <sz val="10"/>
      <color rgb="FF000000"/>
      <name val="Open Sans"/>
      <family val="2"/>
    </font>
    <font>
      <i/>
      <sz val="11"/>
      <color theme="1"/>
      <name val="Open Sans"/>
      <family val="2"/>
    </font>
    <font>
      <sz val="10"/>
      <color rgb="FFFA621C"/>
      <name val="Open Sans"/>
      <family val="2"/>
    </font>
    <font>
      <b/>
      <sz val="14"/>
      <color rgb="FF0000FF"/>
      <name val="Open Sans"/>
      <family val="2"/>
    </font>
    <font>
      <b/>
      <sz val="10"/>
      <color rgb="FFFA621C"/>
      <name val="Open Sans"/>
      <family val="2"/>
    </font>
    <font>
      <sz val="14"/>
      <color theme="1"/>
      <name val="Open Sans"/>
      <family val="2"/>
    </font>
    <font>
      <sz val="10"/>
      <color theme="9" tint="-0.249977111117893"/>
      <name val="Open Sans"/>
      <family val="2"/>
    </font>
    <font>
      <sz val="9"/>
      <name val="Open Sans"/>
      <family val="2"/>
    </font>
    <font>
      <b/>
      <sz val="10"/>
      <color rgb="FFFFFFFF"/>
      <name val="Open Sans"/>
      <family val="2"/>
    </font>
    <font>
      <i/>
      <sz val="9"/>
      <color rgb="FF000000"/>
      <name val="Open Sans"/>
      <family val="2"/>
    </font>
    <font>
      <vertAlign val="superscript"/>
      <sz val="10"/>
      <name val="Open Sans"/>
      <family val="2"/>
    </font>
    <font>
      <b/>
      <vertAlign val="superscript"/>
      <sz val="10"/>
      <name val="Open Sans"/>
      <family val="2"/>
    </font>
    <font>
      <i/>
      <sz val="10"/>
      <color rgb="FF3271D2"/>
      <name val="Open Sans"/>
      <family val="2"/>
    </font>
    <font>
      <sz val="14"/>
      <color rgb="FF000000"/>
      <name val="Open Sans"/>
      <family val="2"/>
    </font>
    <font>
      <b/>
      <vertAlign val="superscript"/>
      <sz val="9"/>
      <name val="Open Sans"/>
      <family val="2"/>
    </font>
    <font>
      <i/>
      <sz val="8"/>
      <color rgb="FF000000"/>
      <name val="Open Sans"/>
      <family val="2"/>
    </font>
    <font>
      <i/>
      <sz val="8"/>
      <name val="Open Sans"/>
      <family val="2"/>
    </font>
    <font>
      <i/>
      <sz val="10"/>
      <color rgb="FFFF0000"/>
      <name val="Open Sans"/>
      <family val="2"/>
    </font>
    <font>
      <sz val="11"/>
      <color rgb="FF3271D2"/>
      <name val="Arial Narrow"/>
      <family val="2"/>
    </font>
    <font>
      <b/>
      <i/>
      <sz val="11"/>
      <color rgb="FFFA621C"/>
      <name val="Open Sans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11"/>
      <color rgb="FF3271D2"/>
      <name val="Times New Roman"/>
      <family val="1"/>
    </font>
    <font>
      <sz val="11"/>
      <color rgb="FFC32838"/>
      <name val="Times New Roman"/>
      <family val="1"/>
    </font>
    <font>
      <sz val="11"/>
      <color rgb="FFFA621C"/>
      <name val="Times New Roman"/>
      <family val="1"/>
    </font>
    <font>
      <sz val="11"/>
      <color rgb="FF000000"/>
      <name val="Times New Roman"/>
      <family val="1"/>
    </font>
    <font>
      <b/>
      <sz val="11"/>
      <color theme="0"/>
      <name val="Times New Roman"/>
      <family val="1"/>
    </font>
    <font>
      <i/>
      <sz val="11"/>
      <name val="Times New Roman"/>
      <family val="1"/>
    </font>
    <font>
      <b/>
      <sz val="11"/>
      <name val="Times New Roman"/>
      <family val="1"/>
    </font>
    <font>
      <sz val="11"/>
      <color rgb="FFFF0000"/>
      <name val="Times New Roman"/>
      <family val="1"/>
    </font>
    <font>
      <b/>
      <sz val="11"/>
      <color rgb="FF3271D2"/>
      <name val="Times New Roman"/>
      <family val="1"/>
    </font>
    <font>
      <sz val="11"/>
      <color theme="0"/>
      <name val="Times New Roman"/>
      <family val="1"/>
    </font>
    <font>
      <b/>
      <sz val="11"/>
      <color rgb="FF0000FF"/>
      <name val="Times New Roman"/>
      <family val="1"/>
    </font>
    <font>
      <b/>
      <sz val="11"/>
      <color rgb="FFFA621C"/>
      <name val="Times New Roman"/>
      <family val="1"/>
    </font>
    <font>
      <b/>
      <sz val="11"/>
      <color rgb="FF947131"/>
      <name val="Times New Roman"/>
      <family val="1"/>
    </font>
    <font>
      <sz val="11"/>
      <color rgb="FF947131"/>
      <name val="Times New Roman"/>
      <family val="1"/>
    </font>
    <font>
      <b/>
      <sz val="11"/>
      <color rgb="FF000000"/>
      <name val="Times New Roman"/>
      <family val="1"/>
    </font>
    <font>
      <sz val="11"/>
      <color rgb="FF0000FF"/>
      <name val="Times New Roman"/>
      <family val="1"/>
    </font>
    <font>
      <i/>
      <sz val="11"/>
      <color rgb="FF000000"/>
      <name val="Times New Roman"/>
      <family val="1"/>
    </font>
    <font>
      <i/>
      <sz val="11"/>
      <color rgb="FFFF0000"/>
      <name val="Times New Roman"/>
      <family val="1"/>
    </font>
    <font>
      <sz val="11"/>
      <color theme="9" tint="-0.249977111117893"/>
      <name val="Times New Roman"/>
      <family val="1"/>
    </font>
    <font>
      <b/>
      <vertAlign val="superscript"/>
      <sz val="11"/>
      <name val="Times New Roman"/>
      <family val="1"/>
    </font>
    <font>
      <i/>
      <sz val="11"/>
      <color rgb="FF3271D2"/>
      <name val="Times New Roman"/>
      <family val="1"/>
    </font>
    <font>
      <b/>
      <sz val="11"/>
      <color rgb="FFFFFFFF"/>
      <name val="Times New Roman"/>
      <family val="1"/>
    </font>
    <font>
      <vertAlign val="superscript"/>
      <sz val="11"/>
      <name val="Times New Roman"/>
      <family val="1"/>
    </font>
    <font>
      <sz val="12"/>
      <color theme="1"/>
      <name val="Times New Roman"/>
      <family val="1"/>
    </font>
    <font>
      <i/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u/>
      <sz val="12"/>
      <color theme="10"/>
      <name val="Times New Roman"/>
      <family val="1"/>
    </font>
    <font>
      <b/>
      <sz val="16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6F6F6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000C3F"/>
        <bgColor rgb="FF000000"/>
      </patternFill>
    </fill>
    <fill>
      <patternFill patternType="solid">
        <fgColor rgb="FFE7F2FF"/>
        <bgColor rgb="FF000000"/>
      </patternFill>
    </fill>
    <fill>
      <patternFill patternType="solid">
        <fgColor theme="4"/>
        <bgColor indexed="64"/>
      </patternFill>
    </fill>
  </fills>
  <borders count="4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medium">
        <color rgb="FF3271D2"/>
      </top>
      <bottom/>
      <diagonal/>
    </border>
    <border>
      <left/>
      <right/>
      <top style="thin">
        <color rgb="FF3271D2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3271D2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/>
      <top style="thin">
        <color rgb="FF3271D2"/>
      </top>
      <bottom style="medium">
        <color rgb="FF3271D2"/>
      </bottom>
      <diagonal/>
    </border>
    <border>
      <left/>
      <right/>
      <top/>
      <bottom style="medium">
        <color rgb="FF3271D2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947131"/>
      </right>
      <top style="thin">
        <color rgb="FF947131"/>
      </top>
      <bottom style="thin">
        <color rgb="FF947131"/>
      </bottom>
      <diagonal/>
    </border>
    <border>
      <left/>
      <right/>
      <top style="thin">
        <color rgb="FF947131"/>
      </top>
      <bottom style="thin">
        <color rgb="FF947131"/>
      </bottom>
      <diagonal/>
    </border>
    <border>
      <left style="thin">
        <color rgb="FF947131"/>
      </left>
      <right/>
      <top style="thin">
        <color rgb="FF947131"/>
      </top>
      <bottom style="thin">
        <color rgb="FF94713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8">
    <xf numFmtId="0" fontId="0" fillId="0" borderId="0"/>
    <xf numFmtId="9" fontId="2" fillId="0" borderId="0" applyFont="0" applyFill="0" applyBorder="0" applyAlignment="0" applyProtection="0"/>
    <xf numFmtId="0" fontId="2" fillId="0" borderId="0"/>
    <xf numFmtId="0" fontId="8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9" fillId="0" borderId="0"/>
    <xf numFmtId="177" fontId="2" fillId="0" borderId="0" applyFont="0" applyFill="0" applyBorder="0" applyAlignment="0" applyProtection="0"/>
    <xf numFmtId="177" fontId="33" fillId="0" borderId="0" applyFont="0" applyFill="0" applyBorder="0" applyAlignment="0" applyProtection="0"/>
  </cellStyleXfs>
  <cellXfs count="744">
    <xf numFmtId="0" fontId="0" fillId="0" borderId="0" xfId="0"/>
    <xf numFmtId="0" fontId="11" fillId="0" borderId="0" xfId="0" applyFont="1" applyAlignment="1">
      <alignment horizontal="left"/>
    </xf>
    <xf numFmtId="0" fontId="9" fillId="0" borderId="0" xfId="0" applyFont="1"/>
    <xf numFmtId="0" fontId="4" fillId="0" borderId="0" xfId="0" applyFont="1" applyAlignment="1">
      <alignment horizontal="left"/>
    </xf>
    <xf numFmtId="0" fontId="7" fillId="0" borderId="0" xfId="0" applyFont="1"/>
    <xf numFmtId="0" fontId="7" fillId="0" borderId="2" xfId="0" applyFont="1" applyBorder="1"/>
    <xf numFmtId="0" fontId="17" fillId="0" borderId="0" xfId="0" applyFont="1"/>
    <xf numFmtId="0" fontId="14" fillId="0" borderId="0" xfId="0" applyFont="1"/>
    <xf numFmtId="0" fontId="12" fillId="0" borderId="0" xfId="0" applyFont="1"/>
    <xf numFmtId="0" fontId="18" fillId="0" borderId="0" xfId="0" applyFont="1"/>
    <xf numFmtId="0" fontId="17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7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2" fillId="0" borderId="1" xfId="0" applyFont="1" applyBorder="1"/>
    <xf numFmtId="0" fontId="12" fillId="0" borderId="1" xfId="0" applyFont="1" applyBorder="1" applyAlignment="1">
      <alignment horizontal="left"/>
    </xf>
    <xf numFmtId="0" fontId="1" fillId="0" borderId="0" xfId="0" applyFont="1"/>
    <xf numFmtId="168" fontId="21" fillId="2" borderId="0" xfId="0" applyNumberFormat="1" applyFont="1" applyFill="1" applyAlignment="1">
      <alignment horizontal="right"/>
    </xf>
    <xf numFmtId="0" fontId="12" fillId="0" borderId="0" xfId="0" applyFont="1" applyAlignment="1">
      <alignment horizontal="left" indent="1"/>
    </xf>
    <xf numFmtId="168" fontId="21" fillId="0" borderId="2" xfId="0" applyNumberFormat="1" applyFont="1" applyBorder="1" applyAlignment="1">
      <alignment horizontal="right"/>
    </xf>
    <xf numFmtId="168" fontId="21" fillId="0" borderId="0" xfId="0" applyNumberFormat="1" applyFont="1" applyAlignment="1">
      <alignment horizontal="right"/>
    </xf>
    <xf numFmtId="0" fontId="10" fillId="0" borderId="0" xfId="0" applyFont="1"/>
    <xf numFmtId="169" fontId="22" fillId="2" borderId="0" xfId="1" applyNumberFormat="1" applyFont="1" applyFill="1" applyAlignment="1">
      <alignment horizontal="right"/>
    </xf>
    <xf numFmtId="0" fontId="22" fillId="0" borderId="0" xfId="0" applyFont="1" applyAlignment="1">
      <alignment horizontal="left" indent="2"/>
    </xf>
    <xf numFmtId="170" fontId="22" fillId="0" borderId="0" xfId="1" applyNumberFormat="1" applyFont="1"/>
    <xf numFmtId="169" fontId="22" fillId="2" borderId="0" xfId="1" applyNumberFormat="1" applyFont="1" applyFill="1" applyBorder="1" applyAlignment="1">
      <alignment horizontal="right"/>
    </xf>
    <xf numFmtId="0" fontId="1" fillId="0" borderId="0" xfId="0" applyFont="1" applyAlignment="1">
      <alignment vertical="center"/>
    </xf>
    <xf numFmtId="171" fontId="23" fillId="0" borderId="0" xfId="0" applyNumberFormat="1" applyFont="1" applyAlignment="1">
      <alignment horizontal="right" vertical="center"/>
    </xf>
    <xf numFmtId="0" fontId="24" fillId="0" borderId="0" xfId="0" applyFont="1" applyAlignment="1">
      <alignment horizontal="right" vertical="center"/>
    </xf>
    <xf numFmtId="0" fontId="21" fillId="3" borderId="0" xfId="0" applyFont="1" applyFill="1" applyAlignment="1">
      <alignment horizontal="center" vertical="center"/>
    </xf>
    <xf numFmtId="0" fontId="25" fillId="0" borderId="0" xfId="0" applyFont="1" applyAlignment="1">
      <alignment horizontal="left" vertical="center" indent="1"/>
    </xf>
    <xf numFmtId="0" fontId="9" fillId="0" borderId="3" xfId="0" applyFont="1" applyBorder="1"/>
    <xf numFmtId="171" fontId="23" fillId="0" borderId="3" xfId="0" applyNumberFormat="1" applyFont="1" applyBorder="1" applyAlignment="1">
      <alignment horizontal="right" vertical="center"/>
    </xf>
    <xf numFmtId="0" fontId="24" fillId="0" borderId="3" xfId="0" applyFont="1" applyBorder="1" applyAlignment="1">
      <alignment horizontal="right" vertical="center"/>
    </xf>
    <xf numFmtId="0" fontId="1" fillId="0" borderId="3" xfId="0" applyFont="1" applyBorder="1" applyAlignment="1">
      <alignment vertical="center"/>
    </xf>
    <xf numFmtId="0" fontId="25" fillId="0" borderId="0" xfId="0" applyFont="1" applyAlignment="1">
      <alignment horizontal="left"/>
    </xf>
    <xf numFmtId="172" fontId="10" fillId="0" borderId="4" xfId="0" applyNumberFormat="1" applyFont="1" applyBorder="1" applyAlignment="1">
      <alignment horizontal="right" vertical="center"/>
    </xf>
    <xf numFmtId="173" fontId="10" fillId="0" borderId="0" xfId="0" applyNumberFormat="1" applyFont="1" applyAlignment="1">
      <alignment horizontal="right" vertical="center"/>
    </xf>
    <xf numFmtId="174" fontId="26" fillId="0" borderId="0" xfId="0" applyNumberFormat="1" applyFont="1" applyAlignment="1">
      <alignment horizontal="right"/>
    </xf>
    <xf numFmtId="174" fontId="10" fillId="0" borderId="0" xfId="0" applyNumberFormat="1" applyFont="1" applyAlignment="1">
      <alignment horizontal="right"/>
    </xf>
    <xf numFmtId="37" fontId="3" fillId="0" borderId="0" xfId="0" applyNumberFormat="1" applyFont="1" applyAlignment="1">
      <alignment vertical="center"/>
    </xf>
    <xf numFmtId="164" fontId="27" fillId="0" borderId="0" xfId="0" applyNumberFormat="1" applyFont="1" applyAlignment="1">
      <alignment vertical="center"/>
    </xf>
    <xf numFmtId="174" fontId="3" fillId="5" borderId="0" xfId="0" applyNumberFormat="1" applyFont="1" applyFill="1" applyAlignment="1">
      <alignment horizontal="right"/>
    </xf>
    <xf numFmtId="37" fontId="6" fillId="5" borderId="0" xfId="0" applyNumberFormat="1" applyFont="1" applyFill="1" applyAlignment="1">
      <alignment vertical="center"/>
    </xf>
    <xf numFmtId="37" fontId="3" fillId="5" borderId="0" xfId="0" applyNumberFormat="1" applyFont="1" applyFill="1" applyAlignment="1">
      <alignment vertical="center"/>
    </xf>
    <xf numFmtId="37" fontId="28" fillId="5" borderId="0" xfId="0" applyNumberFormat="1" applyFont="1" applyFill="1" applyAlignment="1">
      <alignment vertical="center"/>
    </xf>
    <xf numFmtId="0" fontId="14" fillId="4" borderId="0" xfId="0" applyFont="1" applyFill="1"/>
    <xf numFmtId="167" fontId="20" fillId="2" borderId="5" xfId="5" applyNumberFormat="1" applyFont="1" applyFill="1" applyBorder="1" applyAlignment="1" applyProtection="1">
      <alignment horizontal="center" vertical="center"/>
      <protection hidden="1"/>
    </xf>
    <xf numFmtId="168" fontId="1" fillId="2" borderId="6" xfId="0" applyNumberFormat="1" applyFont="1" applyFill="1" applyBorder="1" applyAlignment="1">
      <alignment horizontal="right"/>
    </xf>
    <xf numFmtId="168" fontId="1" fillId="2" borderId="7" xfId="0" applyNumberFormat="1" applyFont="1" applyFill="1" applyBorder="1" applyAlignment="1">
      <alignment horizontal="right"/>
    </xf>
    <xf numFmtId="175" fontId="29" fillId="2" borderId="8" xfId="0" applyNumberFormat="1" applyFont="1" applyFill="1" applyBorder="1" applyAlignment="1">
      <alignment horizontal="center"/>
    </xf>
    <xf numFmtId="168" fontId="29" fillId="2" borderId="9" xfId="0" applyNumberFormat="1" applyFont="1" applyFill="1" applyBorder="1" applyAlignment="1">
      <alignment horizontal="right"/>
    </xf>
    <xf numFmtId="168" fontId="29" fillId="2" borderId="10" xfId="0" applyNumberFormat="1" applyFont="1" applyFill="1" applyBorder="1" applyAlignment="1">
      <alignment horizontal="right"/>
    </xf>
    <xf numFmtId="176" fontId="1" fillId="2" borderId="6" xfId="0" applyNumberFormat="1" applyFont="1" applyFill="1" applyBorder="1" applyAlignment="1">
      <alignment horizontal="right"/>
    </xf>
    <xf numFmtId="176" fontId="1" fillId="2" borderId="7" xfId="0" applyNumberFormat="1" applyFont="1" applyFill="1" applyBorder="1" applyAlignment="1">
      <alignment horizontal="right"/>
    </xf>
    <xf numFmtId="0" fontId="9" fillId="0" borderId="2" xfId="0" applyFont="1" applyBorder="1"/>
    <xf numFmtId="170" fontId="30" fillId="0" borderId="2" xfId="0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  <xf numFmtId="170" fontId="30" fillId="0" borderId="0" xfId="0" applyNumberFormat="1" applyFont="1" applyAlignment="1">
      <alignment vertical="center"/>
    </xf>
    <xf numFmtId="174" fontId="31" fillId="0" borderId="0" xfId="0" applyNumberFormat="1" applyFont="1" applyAlignment="1">
      <alignment horizontal="right" vertical="center"/>
    </xf>
    <xf numFmtId="178" fontId="30" fillId="0" borderId="0" xfId="6" applyNumberFormat="1" applyFont="1" applyFill="1" applyBorder="1" applyAlignment="1">
      <alignment vertical="center"/>
    </xf>
    <xf numFmtId="0" fontId="32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indent="1"/>
    </xf>
    <xf numFmtId="169" fontId="30" fillId="0" borderId="0" xfId="1" applyNumberFormat="1" applyFont="1" applyFill="1" applyBorder="1" applyAlignment="1">
      <alignment vertical="center"/>
    </xf>
    <xf numFmtId="179" fontId="30" fillId="0" borderId="4" xfId="1" applyNumberFormat="1" applyFont="1" applyFill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4" xfId="0" applyFont="1" applyBorder="1" applyAlignment="1">
      <alignment horizontal="left" vertical="center" indent="1"/>
    </xf>
    <xf numFmtId="169" fontId="30" fillId="0" borderId="4" xfId="1" applyNumberFormat="1" applyFont="1" applyFill="1" applyBorder="1" applyAlignment="1">
      <alignment vertical="center"/>
    </xf>
    <xf numFmtId="180" fontId="7" fillId="0" borderId="0" xfId="7" applyNumberFormat="1" applyFont="1" applyProtection="1">
      <protection locked="0"/>
    </xf>
    <xf numFmtId="0" fontId="5" fillId="0" borderId="0" xfId="0" applyFont="1" applyAlignment="1">
      <alignment horizontal="left"/>
    </xf>
    <xf numFmtId="0" fontId="34" fillId="0" borderId="0" xfId="0" applyFont="1"/>
    <xf numFmtId="179" fontId="30" fillId="0" borderId="0" xfId="1" applyNumberFormat="1" applyFont="1" applyFill="1" applyBorder="1" applyAlignment="1">
      <alignment vertical="center"/>
    </xf>
    <xf numFmtId="168" fontId="30" fillId="0" borderId="0" xfId="6" applyNumberFormat="1" applyFont="1" applyFill="1" applyBorder="1" applyAlignment="1">
      <alignment vertical="center"/>
    </xf>
    <xf numFmtId="168" fontId="30" fillId="0" borderId="0" xfId="6" applyNumberFormat="1" applyFont="1"/>
    <xf numFmtId="0" fontId="32" fillId="0" borderId="0" xfId="0" quotePrefix="1" applyFont="1" applyAlignment="1">
      <alignment horizontal="center" vertical="center"/>
    </xf>
    <xf numFmtId="0" fontId="1" fillId="0" borderId="0" xfId="0" applyFont="1" applyAlignment="1">
      <alignment horizontal="left" indent="1"/>
    </xf>
    <xf numFmtId="0" fontId="7" fillId="0" borderId="11" xfId="0" applyFont="1" applyBorder="1"/>
    <xf numFmtId="0" fontId="5" fillId="0" borderId="11" xfId="0" applyFont="1" applyBorder="1"/>
    <xf numFmtId="180" fontId="24" fillId="0" borderId="0" xfId="7" applyNumberFormat="1" applyFont="1" applyBorder="1" applyAlignment="1">
      <alignment horizontal="right"/>
    </xf>
    <xf numFmtId="169" fontId="30" fillId="0" borderId="0" xfId="1" applyNumberFormat="1" applyFont="1" applyFill="1" applyBorder="1" applyAlignment="1">
      <alignment horizontal="right" vertical="center"/>
    </xf>
    <xf numFmtId="180" fontId="35" fillId="0" borderId="0" xfId="7" applyNumberFormat="1" applyFont="1" applyFill="1" applyBorder="1" applyAlignment="1" applyProtection="1">
      <alignment vertical="center"/>
      <protection locked="0"/>
    </xf>
    <xf numFmtId="0" fontId="36" fillId="0" borderId="0" xfId="0" applyFont="1" applyAlignment="1">
      <alignment vertical="center"/>
    </xf>
    <xf numFmtId="180" fontId="37" fillId="0" borderId="0" xfId="7" applyNumberFormat="1" applyFont="1" applyFill="1" applyBorder="1" applyAlignment="1">
      <alignment horizontal="right" vertical="center"/>
    </xf>
    <xf numFmtId="0" fontId="21" fillId="0" borderId="0" xfId="0" applyFont="1" applyAlignment="1">
      <alignment horizontal="left" indent="1"/>
    </xf>
    <xf numFmtId="168" fontId="30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180" fontId="24" fillId="0" borderId="0" xfId="7" applyNumberFormat="1" applyFont="1" applyAlignment="1" applyProtection="1">
      <alignment vertical="center"/>
      <protection locked="0"/>
    </xf>
    <xf numFmtId="181" fontId="30" fillId="0" borderId="4" xfId="0" applyNumberFormat="1" applyFont="1" applyBorder="1" applyAlignment="1">
      <alignment horizontal="right" vertical="center"/>
    </xf>
    <xf numFmtId="0" fontId="32" fillId="0" borderId="4" xfId="0" quotePrefix="1" applyFont="1" applyBorder="1" applyAlignment="1">
      <alignment horizontal="center" vertical="center"/>
    </xf>
    <xf numFmtId="37" fontId="28" fillId="0" borderId="0" xfId="0" applyNumberFormat="1" applyFont="1" applyAlignment="1">
      <alignment vertical="center"/>
    </xf>
    <xf numFmtId="168" fontId="30" fillId="0" borderId="12" xfId="0" applyNumberFormat="1" applyFont="1" applyBorder="1" applyAlignment="1">
      <alignment horizontal="right" vertical="center"/>
    </xf>
    <xf numFmtId="168" fontId="30" fillId="0" borderId="2" xfId="0" applyNumberFormat="1" applyFont="1" applyBorder="1" applyAlignment="1">
      <alignment horizontal="right" vertical="center"/>
    </xf>
    <xf numFmtId="168" fontId="30" fillId="0" borderId="13" xfId="0" applyNumberFormat="1" applyFont="1" applyBorder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21" fillId="0" borderId="0" xfId="0" applyFont="1" applyAlignment="1">
      <alignment horizontal="left" indent="2"/>
    </xf>
    <xf numFmtId="168" fontId="30" fillId="0" borderId="14" xfId="0" applyNumberFormat="1" applyFont="1" applyBorder="1" applyAlignment="1">
      <alignment horizontal="right" vertical="center"/>
    </xf>
    <xf numFmtId="168" fontId="30" fillId="0" borderId="0" xfId="0" applyNumberFormat="1" applyFont="1" applyAlignment="1">
      <alignment horizontal="right" vertical="center"/>
    </xf>
    <xf numFmtId="168" fontId="30" fillId="0" borderId="15" xfId="0" applyNumberFormat="1" applyFont="1" applyBorder="1" applyAlignment="1">
      <alignment horizontal="right" vertical="center"/>
    </xf>
    <xf numFmtId="169" fontId="30" fillId="0" borderId="16" xfId="0" applyNumberFormat="1" applyFont="1" applyBorder="1" applyAlignment="1">
      <alignment horizontal="right" vertical="center"/>
    </xf>
    <xf numFmtId="169" fontId="30" fillId="0" borderId="17" xfId="0" applyNumberFormat="1" applyFont="1" applyBorder="1" applyAlignment="1">
      <alignment horizontal="right" vertical="center"/>
    </xf>
    <xf numFmtId="169" fontId="30" fillId="0" borderId="18" xfId="0" applyNumberFormat="1" applyFont="1" applyBorder="1" applyAlignment="1">
      <alignment horizontal="right" vertical="center"/>
    </xf>
    <xf numFmtId="0" fontId="25" fillId="0" borderId="0" xfId="0" applyFont="1" applyAlignment="1">
      <alignment horizontal="left" indent="1"/>
    </xf>
    <xf numFmtId="168" fontId="30" fillId="0" borderId="16" xfId="0" applyNumberFormat="1" applyFont="1" applyBorder="1" applyAlignment="1">
      <alignment horizontal="right" vertical="center"/>
    </xf>
    <xf numFmtId="168" fontId="30" fillId="0" borderId="17" xfId="0" applyNumberFormat="1" applyFont="1" applyBorder="1" applyAlignment="1">
      <alignment horizontal="right" vertical="center"/>
    </xf>
    <xf numFmtId="168" fontId="30" fillId="0" borderId="18" xfId="0" applyNumberFormat="1" applyFont="1" applyBorder="1" applyAlignment="1">
      <alignment horizontal="right" vertical="center"/>
    </xf>
    <xf numFmtId="172" fontId="10" fillId="0" borderId="19" xfId="0" applyNumberFormat="1" applyFont="1" applyBorder="1" applyAlignment="1">
      <alignment horizontal="right" vertical="center"/>
    </xf>
    <xf numFmtId="180" fontId="38" fillId="0" borderId="0" xfId="7" applyNumberFormat="1" applyFont="1" applyAlignment="1">
      <alignment horizontal="right"/>
    </xf>
    <xf numFmtId="180" fontId="38" fillId="0" borderId="0" xfId="7" applyNumberFormat="1" applyFont="1" applyAlignment="1" applyProtection="1">
      <alignment horizontal="center"/>
      <protection locked="0"/>
    </xf>
    <xf numFmtId="180" fontId="38" fillId="0" borderId="0" xfId="7" applyNumberFormat="1" applyFont="1" applyProtection="1">
      <protection locked="0"/>
    </xf>
    <xf numFmtId="169" fontId="30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left" vertical="center" indent="2"/>
    </xf>
    <xf numFmtId="168" fontId="9" fillId="0" borderId="0" xfId="0" applyNumberFormat="1" applyFont="1" applyAlignment="1">
      <alignment horizontal="right"/>
    </xf>
    <xf numFmtId="168" fontId="23" fillId="0" borderId="0" xfId="0" applyNumberFormat="1" applyFont="1" applyAlignment="1">
      <alignment horizontal="right" vertical="center"/>
    </xf>
    <xf numFmtId="168" fontId="22" fillId="0" borderId="0" xfId="0" applyNumberFormat="1" applyFont="1" applyAlignment="1">
      <alignment horizontal="right" vertical="center"/>
    </xf>
    <xf numFmtId="168" fontId="1" fillId="0" borderId="0" xfId="0" applyNumberFormat="1" applyFont="1" applyAlignment="1">
      <alignment horizontal="right" vertical="center"/>
    </xf>
    <xf numFmtId="168" fontId="25" fillId="2" borderId="5" xfId="1" applyNumberFormat="1" applyFont="1" applyFill="1" applyBorder="1" applyAlignment="1">
      <alignment horizontal="right" vertical="center"/>
    </xf>
    <xf numFmtId="168" fontId="25" fillId="2" borderId="6" xfId="1" applyNumberFormat="1" applyFont="1" applyFill="1" applyBorder="1" applyAlignment="1">
      <alignment horizontal="right" vertical="center"/>
    </xf>
    <xf numFmtId="168" fontId="25" fillId="2" borderId="7" xfId="1" applyNumberFormat="1" applyFont="1" applyFill="1" applyBorder="1" applyAlignment="1">
      <alignment horizontal="right" vertical="center"/>
    </xf>
    <xf numFmtId="169" fontId="30" fillId="0" borderId="12" xfId="0" applyNumberFormat="1" applyFont="1" applyBorder="1" applyAlignment="1">
      <alignment vertical="center"/>
    </xf>
    <xf numFmtId="169" fontId="30" fillId="0" borderId="2" xfId="0" applyNumberFormat="1" applyFont="1" applyBorder="1" applyAlignment="1">
      <alignment vertical="center"/>
    </xf>
    <xf numFmtId="169" fontId="30" fillId="0" borderId="13" xfId="0" applyNumberFormat="1" applyFont="1" applyBorder="1" applyAlignment="1">
      <alignment vertical="center"/>
    </xf>
    <xf numFmtId="0" fontId="39" fillId="0" borderId="0" xfId="0" applyFont="1" applyAlignment="1">
      <alignment horizontal="left"/>
    </xf>
    <xf numFmtId="169" fontId="30" fillId="0" borderId="14" xfId="0" applyNumberFormat="1" applyFont="1" applyBorder="1" applyAlignment="1">
      <alignment vertical="center"/>
    </xf>
    <xf numFmtId="169" fontId="30" fillId="0" borderId="0" xfId="0" applyNumberFormat="1" applyFont="1" applyAlignment="1">
      <alignment vertical="center"/>
    </xf>
    <xf numFmtId="169" fontId="30" fillId="0" borderId="15" xfId="0" applyNumberFormat="1" applyFont="1" applyBorder="1" applyAlignment="1">
      <alignment vertical="center"/>
    </xf>
    <xf numFmtId="169" fontId="30" fillId="0" borderId="16" xfId="0" applyNumberFormat="1" applyFont="1" applyBorder="1" applyAlignment="1">
      <alignment vertical="center"/>
    </xf>
    <xf numFmtId="169" fontId="30" fillId="0" borderId="17" xfId="0" applyNumberFormat="1" applyFont="1" applyBorder="1" applyAlignment="1">
      <alignment vertical="center"/>
    </xf>
    <xf numFmtId="169" fontId="30" fillId="0" borderId="18" xfId="0" applyNumberFormat="1" applyFont="1" applyBorder="1" applyAlignment="1">
      <alignment vertical="center"/>
    </xf>
    <xf numFmtId="169" fontId="9" fillId="0" borderId="0" xfId="0" applyNumberFormat="1" applyFont="1"/>
    <xf numFmtId="169" fontId="23" fillId="0" borderId="0" xfId="0" applyNumberFormat="1" applyFont="1" applyAlignment="1">
      <alignment horizontal="right" vertical="center"/>
    </xf>
    <xf numFmtId="169" fontId="22" fillId="0" borderId="0" xfId="0" applyNumberFormat="1" applyFont="1" applyAlignment="1">
      <alignment horizontal="right" vertical="center"/>
    </xf>
    <xf numFmtId="169" fontId="1" fillId="0" borderId="0" xfId="0" applyNumberFormat="1" applyFont="1" applyAlignment="1">
      <alignment vertical="center"/>
    </xf>
    <xf numFmtId="169" fontId="25" fillId="2" borderId="5" xfId="1" applyNumberFormat="1" applyFont="1" applyFill="1" applyBorder="1" applyAlignment="1">
      <alignment vertical="center"/>
    </xf>
    <xf numFmtId="169" fontId="25" fillId="2" borderId="6" xfId="1" applyNumberFormat="1" applyFont="1" applyFill="1" applyBorder="1" applyAlignment="1">
      <alignment vertical="center"/>
    </xf>
    <xf numFmtId="169" fontId="25" fillId="2" borderId="7" xfId="1" applyNumberFormat="1" applyFont="1" applyFill="1" applyBorder="1" applyAlignment="1">
      <alignment vertical="center"/>
    </xf>
    <xf numFmtId="170" fontId="9" fillId="0" borderId="0" xfId="0" applyNumberFormat="1" applyFont="1"/>
    <xf numFmtId="170" fontId="23" fillId="0" borderId="0" xfId="0" applyNumberFormat="1" applyFont="1" applyAlignment="1">
      <alignment horizontal="right" vertical="center"/>
    </xf>
    <xf numFmtId="170" fontId="22" fillId="0" borderId="0" xfId="0" applyNumberFormat="1" applyFont="1" applyAlignment="1">
      <alignment horizontal="right" vertical="center"/>
    </xf>
    <xf numFmtId="170" fontId="1" fillId="0" borderId="0" xfId="0" applyNumberFormat="1" applyFont="1" applyAlignment="1">
      <alignment vertical="center"/>
    </xf>
    <xf numFmtId="0" fontId="30" fillId="0" borderId="0" xfId="0" applyFont="1" applyAlignment="1">
      <alignment horizontal="left" vertical="center" indent="2"/>
    </xf>
    <xf numFmtId="0" fontId="12" fillId="0" borderId="0" xfId="0" applyFont="1" applyAlignment="1">
      <alignment vertical="center"/>
    </xf>
    <xf numFmtId="170" fontId="24" fillId="0" borderId="0" xfId="0" applyNumberFormat="1" applyFont="1" applyAlignment="1">
      <alignment horizontal="right" vertical="center"/>
    </xf>
    <xf numFmtId="0" fontId="21" fillId="0" borderId="0" xfId="0" applyFont="1" applyAlignment="1">
      <alignment vertical="center"/>
    </xf>
    <xf numFmtId="0" fontId="13" fillId="0" borderId="0" xfId="0" applyFont="1"/>
    <xf numFmtId="0" fontId="30" fillId="3" borderId="0" xfId="0" applyFont="1" applyFill="1" applyAlignment="1">
      <alignment horizontal="center" vertical="center"/>
    </xf>
    <xf numFmtId="174" fontId="3" fillId="0" borderId="0" xfId="0" applyNumberFormat="1" applyFont="1" applyAlignment="1">
      <alignment horizontal="right"/>
    </xf>
    <xf numFmtId="37" fontId="6" fillId="0" borderId="0" xfId="0" applyNumberFormat="1" applyFont="1" applyAlignment="1">
      <alignment vertical="center"/>
    </xf>
    <xf numFmtId="37" fontId="40" fillId="0" borderId="0" xfId="0" applyNumberFormat="1" applyFont="1" applyAlignment="1">
      <alignment vertical="center"/>
    </xf>
    <xf numFmtId="0" fontId="41" fillId="0" borderId="0" xfId="0" applyFont="1" applyAlignment="1">
      <alignment horizontal="left"/>
    </xf>
    <xf numFmtId="37" fontId="42" fillId="0" borderId="0" xfId="0" applyNumberFormat="1" applyFont="1" applyAlignment="1">
      <alignment vertical="center"/>
    </xf>
    <xf numFmtId="182" fontId="12" fillId="0" borderId="0" xfId="0" applyNumberFormat="1" applyFont="1"/>
    <xf numFmtId="172" fontId="10" fillId="0" borderId="2" xfId="0" applyNumberFormat="1" applyFont="1" applyBorder="1" applyAlignment="1">
      <alignment horizontal="right"/>
    </xf>
    <xf numFmtId="174" fontId="10" fillId="0" borderId="2" xfId="0" applyNumberFormat="1" applyFont="1" applyBorder="1" applyAlignment="1">
      <alignment horizontal="right"/>
    </xf>
    <xf numFmtId="37" fontId="3" fillId="0" borderId="2" xfId="0" applyNumberFormat="1" applyFont="1" applyBorder="1" applyAlignment="1">
      <alignment vertical="center"/>
    </xf>
    <xf numFmtId="164" fontId="27" fillId="0" borderId="2" xfId="0" applyNumberFormat="1" applyFont="1" applyBorder="1" applyAlignment="1">
      <alignment vertical="center"/>
    </xf>
    <xf numFmtId="168" fontId="21" fillId="2" borderId="0" xfId="0" applyNumberFormat="1" applyFont="1" applyFill="1"/>
    <xf numFmtId="168" fontId="21" fillId="2" borderId="2" xfId="0" applyNumberFormat="1" applyFont="1" applyFill="1" applyBorder="1"/>
    <xf numFmtId="168" fontId="10" fillId="0" borderId="2" xfId="0" applyNumberFormat="1" applyFont="1" applyBorder="1" applyAlignment="1">
      <alignment horizontal="right"/>
    </xf>
    <xf numFmtId="168" fontId="21" fillId="0" borderId="0" xfId="0" applyNumberFormat="1" applyFont="1"/>
    <xf numFmtId="172" fontId="10" fillId="0" borderId="0" xfId="0" applyNumberFormat="1" applyFont="1" applyAlignment="1">
      <alignment horizontal="right"/>
    </xf>
    <xf numFmtId="0" fontId="10" fillId="0" borderId="0" xfId="0" applyFont="1" applyAlignment="1">
      <alignment horizontal="left"/>
    </xf>
    <xf numFmtId="168" fontId="21" fillId="0" borderId="2" xfId="0" applyNumberFormat="1" applyFont="1" applyBorder="1"/>
    <xf numFmtId="0" fontId="12" fillId="0" borderId="2" xfId="0" applyFont="1" applyBorder="1" applyAlignment="1">
      <alignment horizontal="left" indent="1"/>
    </xf>
    <xf numFmtId="169" fontId="21" fillId="0" borderId="2" xfId="0" applyNumberFormat="1" applyFont="1" applyBorder="1" applyAlignment="1">
      <alignment horizontal="right"/>
    </xf>
    <xf numFmtId="182" fontId="43" fillId="0" borderId="0" xfId="0" applyNumberFormat="1" applyFont="1"/>
    <xf numFmtId="174" fontId="10" fillId="0" borderId="20" xfId="0" applyNumberFormat="1" applyFont="1" applyBorder="1" applyAlignment="1">
      <alignment horizontal="right" vertical="center"/>
    </xf>
    <xf numFmtId="168" fontId="41" fillId="0" borderId="0" xfId="0" applyNumberFormat="1" applyFont="1"/>
    <xf numFmtId="183" fontId="10" fillId="5" borderId="0" xfId="0" applyNumberFormat="1" applyFont="1" applyFill="1" applyAlignment="1">
      <alignment horizontal="centerContinuous"/>
    </xf>
    <xf numFmtId="183" fontId="27" fillId="5" borderId="0" xfId="0" applyNumberFormat="1" applyFont="1" applyFill="1" applyAlignment="1">
      <alignment horizontal="centerContinuous"/>
    </xf>
    <xf numFmtId="37" fontId="1" fillId="5" borderId="0" xfId="0" applyNumberFormat="1" applyFont="1" applyFill="1" applyAlignment="1">
      <alignment vertical="center"/>
    </xf>
    <xf numFmtId="168" fontId="21" fillId="2" borderId="9" xfId="0" applyNumberFormat="1" applyFont="1" applyFill="1" applyBorder="1" applyAlignment="1">
      <alignment horizontal="right" vertical="center"/>
    </xf>
    <xf numFmtId="184" fontId="1" fillId="2" borderId="21" xfId="0" applyNumberFormat="1" applyFont="1" applyFill="1" applyBorder="1" applyAlignment="1">
      <alignment horizontal="center"/>
    </xf>
    <xf numFmtId="168" fontId="10" fillId="0" borderId="0" xfId="0" applyNumberFormat="1" applyFont="1" applyAlignment="1">
      <alignment horizontal="right"/>
    </xf>
    <xf numFmtId="0" fontId="10" fillId="0" borderId="0" xfId="2" applyFont="1" applyAlignment="1">
      <alignment horizontal="center"/>
    </xf>
    <xf numFmtId="185" fontId="12" fillId="0" borderId="0" xfId="0" quotePrefix="1" applyNumberFormat="1" applyFont="1" applyAlignment="1">
      <alignment horizontal="right"/>
    </xf>
    <xf numFmtId="185" fontId="44" fillId="0" borderId="0" xfId="0" quotePrefix="1" applyNumberFormat="1" applyFont="1" applyAlignment="1">
      <alignment horizontal="right"/>
    </xf>
    <xf numFmtId="186" fontId="44" fillId="0" borderId="0" xfId="0" quotePrefix="1" applyNumberFormat="1" applyFont="1" applyAlignment="1">
      <alignment horizontal="right"/>
    </xf>
    <xf numFmtId="0" fontId="36" fillId="0" borderId="0" xfId="0" applyFont="1"/>
    <xf numFmtId="169" fontId="21" fillId="0" borderId="0" xfId="1" applyNumberFormat="1" applyFont="1" applyFill="1" applyBorder="1" applyAlignment="1">
      <alignment horizontal="right"/>
    </xf>
    <xf numFmtId="169" fontId="12" fillId="0" borderId="0" xfId="1" applyNumberFormat="1" applyFont="1" applyFill="1" applyBorder="1" applyAlignment="1">
      <alignment horizontal="right"/>
    </xf>
    <xf numFmtId="168" fontId="21" fillId="0" borderId="22" xfId="0" applyNumberFormat="1" applyFont="1" applyBorder="1" applyAlignment="1">
      <alignment horizontal="right" vertical="center"/>
    </xf>
    <xf numFmtId="187" fontId="21" fillId="0" borderId="0" xfId="0" applyNumberFormat="1" applyFont="1"/>
    <xf numFmtId="168" fontId="25" fillId="0" borderId="2" xfId="0" applyNumberFormat="1" applyFont="1" applyBorder="1" applyAlignment="1">
      <alignment horizontal="right"/>
    </xf>
    <xf numFmtId="174" fontId="25" fillId="0" borderId="2" xfId="0" applyNumberFormat="1" applyFont="1" applyBorder="1" applyAlignment="1">
      <alignment horizontal="right"/>
    </xf>
    <xf numFmtId="37" fontId="45" fillId="0" borderId="2" xfId="0" applyNumberFormat="1" applyFont="1" applyBorder="1" applyAlignment="1">
      <alignment vertical="center"/>
    </xf>
    <xf numFmtId="164" fontId="46" fillId="0" borderId="2" xfId="0" applyNumberFormat="1" applyFont="1" applyBorder="1" applyAlignment="1">
      <alignment vertical="center"/>
    </xf>
    <xf numFmtId="168" fontId="12" fillId="0" borderId="0" xfId="0" applyNumberFormat="1" applyFont="1"/>
    <xf numFmtId="49" fontId="12" fillId="0" borderId="0" xfId="0" applyNumberFormat="1" applyFont="1" applyAlignment="1">
      <alignment horizontal="left" indent="1"/>
    </xf>
    <xf numFmtId="49" fontId="10" fillId="0" borderId="0" xfId="0" applyNumberFormat="1" applyFont="1" applyAlignment="1">
      <alignment horizontal="left"/>
    </xf>
    <xf numFmtId="170" fontId="49" fillId="0" borderId="0" xfId="1" applyNumberFormat="1" applyFont="1" applyBorder="1"/>
    <xf numFmtId="168" fontId="39" fillId="0" borderId="0" xfId="0" applyNumberFormat="1" applyFont="1"/>
    <xf numFmtId="165" fontId="21" fillId="0" borderId="12" xfId="0" applyNumberFormat="1" applyFont="1" applyBorder="1" applyAlignment="1">
      <alignment horizontal="right"/>
    </xf>
    <xf numFmtId="49" fontId="21" fillId="0" borderId="13" xfId="0" applyNumberFormat="1" applyFont="1" applyBorder="1" applyAlignment="1">
      <alignment horizontal="left"/>
    </xf>
    <xf numFmtId="9" fontId="21" fillId="0" borderId="16" xfId="1" applyFont="1" applyFill="1" applyBorder="1" applyAlignment="1"/>
    <xf numFmtId="37" fontId="45" fillId="0" borderId="17" xfId="0" applyNumberFormat="1" applyFont="1" applyBorder="1" applyAlignment="1">
      <alignment vertical="center"/>
    </xf>
    <xf numFmtId="0" fontId="21" fillId="0" borderId="18" xfId="0" applyFont="1" applyBorder="1" applyAlignment="1">
      <alignment horizontal="left"/>
    </xf>
    <xf numFmtId="188" fontId="21" fillId="0" borderId="12" xfId="0" applyNumberFormat="1" applyFont="1" applyBorder="1"/>
    <xf numFmtId="188" fontId="21" fillId="0" borderId="2" xfId="0" applyNumberFormat="1" applyFont="1" applyBorder="1"/>
    <xf numFmtId="188" fontId="21" fillId="0" borderId="13" xfId="0" applyNumberFormat="1" applyFont="1" applyBorder="1"/>
    <xf numFmtId="168" fontId="21" fillId="0" borderId="16" xfId="0" applyNumberFormat="1" applyFont="1" applyBorder="1"/>
    <xf numFmtId="168" fontId="21" fillId="0" borderId="17" xfId="0" applyNumberFormat="1" applyFont="1" applyBorder="1"/>
    <xf numFmtId="168" fontId="21" fillId="0" borderId="18" xfId="0" applyNumberFormat="1" applyFont="1" applyBorder="1"/>
    <xf numFmtId="186" fontId="12" fillId="0" borderId="0" xfId="0" quotePrefix="1" applyNumberFormat="1" applyFont="1" applyAlignment="1">
      <alignment horizontal="right"/>
    </xf>
    <xf numFmtId="187" fontId="30" fillId="0" borderId="0" xfId="0" applyNumberFormat="1" applyFont="1"/>
    <xf numFmtId="37" fontId="42" fillId="0" borderId="2" xfId="0" applyNumberFormat="1" applyFont="1" applyBorder="1" applyAlignment="1">
      <alignment vertical="center"/>
    </xf>
    <xf numFmtId="0" fontId="34" fillId="0" borderId="0" xfId="0" applyFont="1" applyAlignment="1">
      <alignment horizontal="left" indent="1"/>
    </xf>
    <xf numFmtId="189" fontId="21" fillId="0" borderId="0" xfId="0" applyNumberFormat="1" applyFont="1"/>
    <xf numFmtId="168" fontId="21" fillId="0" borderId="0" xfId="1" applyNumberFormat="1" applyFont="1"/>
    <xf numFmtId="190" fontId="21" fillId="0" borderId="0" xfId="0" applyNumberFormat="1" applyFont="1" applyAlignment="1">
      <alignment horizontal="left"/>
    </xf>
    <xf numFmtId="169" fontId="30" fillId="0" borderId="0" xfId="0" applyNumberFormat="1" applyFont="1" applyAlignment="1">
      <alignment horizontal="right"/>
    </xf>
    <xf numFmtId="37" fontId="50" fillId="0" borderId="0" xfId="0" applyNumberFormat="1" applyFont="1" applyAlignment="1">
      <alignment vertical="center"/>
    </xf>
    <xf numFmtId="0" fontId="21" fillId="0" borderId="0" xfId="0" applyFont="1" applyAlignment="1">
      <alignment horizontal="left"/>
    </xf>
    <xf numFmtId="169" fontId="12" fillId="0" borderId="12" xfId="1" applyNumberFormat="1" applyFont="1" applyFill="1" applyBorder="1"/>
    <xf numFmtId="37" fontId="50" fillId="0" borderId="2" xfId="0" applyNumberFormat="1" applyFont="1" applyBorder="1" applyAlignment="1">
      <alignment vertical="center"/>
    </xf>
    <xf numFmtId="0" fontId="12" fillId="0" borderId="13" xfId="0" applyFont="1" applyBorder="1" applyAlignment="1">
      <alignment horizontal="left"/>
    </xf>
    <xf numFmtId="179" fontId="12" fillId="0" borderId="16" xfId="0" applyNumberFormat="1" applyFont="1" applyBorder="1" applyAlignment="1">
      <alignment horizontal="right"/>
    </xf>
    <xf numFmtId="37" fontId="50" fillId="0" borderId="17" xfId="0" applyNumberFormat="1" applyFont="1" applyBorder="1" applyAlignment="1">
      <alignment vertical="center"/>
    </xf>
    <xf numFmtId="0" fontId="15" fillId="0" borderId="0" xfId="0" applyFont="1"/>
    <xf numFmtId="168" fontId="21" fillId="0" borderId="23" xfId="0" applyNumberFormat="1" applyFont="1" applyBorder="1"/>
    <xf numFmtId="168" fontId="21" fillId="0" borderId="24" xfId="0" applyNumberFormat="1" applyFont="1" applyBorder="1"/>
    <xf numFmtId="168" fontId="21" fillId="0" borderId="25" xfId="0" applyNumberFormat="1" applyFont="1" applyBorder="1"/>
    <xf numFmtId="187" fontId="21" fillId="0" borderId="0" xfId="0" applyNumberFormat="1" applyFont="1" applyAlignment="1">
      <alignment horizontal="left"/>
    </xf>
    <xf numFmtId="172" fontId="10" fillId="0" borderId="0" xfId="0" applyNumberFormat="1" applyFont="1" applyAlignment="1">
      <alignment horizontal="left"/>
    </xf>
    <xf numFmtId="168" fontId="21" fillId="0" borderId="12" xfId="0" applyNumberFormat="1" applyFont="1" applyBorder="1" applyAlignment="1">
      <alignment horizontal="right"/>
    </xf>
    <xf numFmtId="187" fontId="21" fillId="0" borderId="12" xfId="0" applyNumberFormat="1" applyFont="1" applyBorder="1" applyAlignment="1">
      <alignment horizontal="left"/>
    </xf>
    <xf numFmtId="187" fontId="21" fillId="0" borderId="2" xfId="0" applyNumberFormat="1" applyFont="1" applyBorder="1" applyAlignment="1">
      <alignment horizontal="left"/>
    </xf>
    <xf numFmtId="172" fontId="10" fillId="0" borderId="13" xfId="0" applyNumberFormat="1" applyFont="1" applyBorder="1" applyAlignment="1">
      <alignment horizontal="left"/>
    </xf>
    <xf numFmtId="168" fontId="21" fillId="0" borderId="14" xfId="0" applyNumberFormat="1" applyFont="1" applyBorder="1" applyAlignment="1">
      <alignment horizontal="right"/>
    </xf>
    <xf numFmtId="187" fontId="21" fillId="0" borderId="14" xfId="0" applyNumberFormat="1" applyFont="1" applyBorder="1" applyAlignment="1">
      <alignment horizontal="left"/>
    </xf>
    <xf numFmtId="172" fontId="10" fillId="0" borderId="15" xfId="0" applyNumberFormat="1" applyFont="1" applyBorder="1" applyAlignment="1">
      <alignment horizontal="left"/>
    </xf>
    <xf numFmtId="168" fontId="21" fillId="0" borderId="16" xfId="0" applyNumberFormat="1" applyFont="1" applyBorder="1" applyAlignment="1">
      <alignment horizontal="right"/>
    </xf>
    <xf numFmtId="168" fontId="21" fillId="0" borderId="17" xfId="0" applyNumberFormat="1" applyFont="1" applyBorder="1" applyAlignment="1">
      <alignment horizontal="right"/>
    </xf>
    <xf numFmtId="187" fontId="21" fillId="0" borderId="16" xfId="0" applyNumberFormat="1" applyFont="1" applyBorder="1" applyAlignment="1">
      <alignment horizontal="left"/>
    </xf>
    <xf numFmtId="187" fontId="21" fillId="0" borderId="17" xfId="0" applyNumberFormat="1" applyFont="1" applyBorder="1" applyAlignment="1">
      <alignment horizontal="left"/>
    </xf>
    <xf numFmtId="172" fontId="10" fillId="0" borderId="18" xfId="0" applyNumberFormat="1" applyFont="1" applyBorder="1" applyAlignment="1">
      <alignment horizontal="left"/>
    </xf>
    <xf numFmtId="191" fontId="10" fillId="0" borderId="0" xfId="0" applyNumberFormat="1" applyFont="1" applyAlignment="1">
      <alignment horizontal="right"/>
    </xf>
    <xf numFmtId="37" fontId="42" fillId="0" borderId="0" xfId="0" applyNumberFormat="1" applyFont="1" applyAlignment="1">
      <alignment horizontal="centerContinuous" vertical="center"/>
    </xf>
    <xf numFmtId="172" fontId="10" fillId="0" borderId="0" xfId="0" applyNumberFormat="1" applyFont="1" applyAlignment="1">
      <alignment horizontal="centerContinuous"/>
    </xf>
    <xf numFmtId="0" fontId="10" fillId="0" borderId="0" xfId="0" applyFont="1" applyAlignment="1">
      <alignment horizontal="centerContinuous"/>
    </xf>
    <xf numFmtId="179" fontId="21" fillId="0" borderId="12" xfId="0" applyNumberFormat="1" applyFont="1" applyBorder="1" applyAlignment="1">
      <alignment horizontal="right"/>
    </xf>
    <xf numFmtId="179" fontId="21" fillId="0" borderId="2" xfId="0" applyNumberFormat="1" applyFont="1" applyBorder="1" applyAlignment="1">
      <alignment horizontal="right"/>
    </xf>
    <xf numFmtId="172" fontId="12" fillId="0" borderId="12" xfId="0" applyNumberFormat="1" applyFont="1" applyBorder="1" applyAlignment="1">
      <alignment horizontal="left"/>
    </xf>
    <xf numFmtId="189" fontId="21" fillId="0" borderId="2" xfId="0" applyNumberFormat="1" applyFont="1" applyBorder="1" applyAlignment="1">
      <alignment horizontal="left"/>
    </xf>
    <xf numFmtId="179" fontId="21" fillId="0" borderId="14" xfId="0" applyNumberFormat="1" applyFont="1" applyBorder="1" applyAlignment="1">
      <alignment horizontal="right"/>
    </xf>
    <xf numFmtId="179" fontId="21" fillId="0" borderId="0" xfId="0" applyNumberFormat="1" applyFont="1" applyAlignment="1">
      <alignment horizontal="right"/>
    </xf>
    <xf numFmtId="172" fontId="12" fillId="0" borderId="14" xfId="0" applyNumberFormat="1" applyFont="1" applyBorder="1" applyAlignment="1">
      <alignment horizontal="left"/>
    </xf>
    <xf numFmtId="189" fontId="21" fillId="0" borderId="0" xfId="0" applyNumberFormat="1" applyFont="1" applyAlignment="1">
      <alignment horizontal="left"/>
    </xf>
    <xf numFmtId="0" fontId="52" fillId="0" borderId="2" xfId="0" applyFont="1" applyBorder="1" applyAlignment="1">
      <alignment horizontal="center"/>
    </xf>
    <xf numFmtId="0" fontId="21" fillId="0" borderId="13" xfId="0" applyFont="1" applyBorder="1" applyAlignment="1">
      <alignment horizontal="left"/>
    </xf>
    <xf numFmtId="179" fontId="21" fillId="0" borderId="16" xfId="0" applyNumberFormat="1" applyFont="1" applyBorder="1" applyAlignment="1">
      <alignment horizontal="right"/>
    </xf>
    <xf numFmtId="179" fontId="21" fillId="0" borderId="17" xfId="0" applyNumberFormat="1" applyFont="1" applyBorder="1" applyAlignment="1">
      <alignment horizontal="right"/>
    </xf>
    <xf numFmtId="172" fontId="12" fillId="0" borderId="16" xfId="0" applyNumberFormat="1" applyFont="1" applyBorder="1" applyAlignment="1">
      <alignment horizontal="left"/>
    </xf>
    <xf numFmtId="189" fontId="21" fillId="0" borderId="17" xfId="0" applyNumberFormat="1" applyFont="1" applyBorder="1" applyAlignment="1">
      <alignment horizontal="left"/>
    </xf>
    <xf numFmtId="178" fontId="21" fillId="0" borderId="16" xfId="1" applyNumberFormat="1" applyFont="1" applyFill="1" applyBorder="1" applyAlignment="1">
      <alignment horizontal="right"/>
    </xf>
    <xf numFmtId="0" fontId="52" fillId="0" borderId="17" xfId="0" applyFont="1" applyBorder="1" applyAlignment="1">
      <alignment horizontal="center"/>
    </xf>
    <xf numFmtId="0" fontId="10" fillId="0" borderId="0" xfId="0" applyFont="1" applyAlignment="1">
      <alignment horizontal="right"/>
    </xf>
    <xf numFmtId="0" fontId="43" fillId="0" borderId="0" xfId="0" applyFont="1" applyAlignment="1">
      <alignment horizontal="left"/>
    </xf>
    <xf numFmtId="178" fontId="4" fillId="0" borderId="0" xfId="1" applyNumberFormat="1" applyFont="1" applyBorder="1" applyAlignment="1">
      <alignment horizontal="right"/>
    </xf>
    <xf numFmtId="178" fontId="49" fillId="0" borderId="0" xfId="1" applyNumberFormat="1" applyFont="1" applyBorder="1" applyAlignment="1">
      <alignment horizontal="right"/>
    </xf>
    <xf numFmtId="179" fontId="21" fillId="0" borderId="23" xfId="0" applyNumberFormat="1" applyFont="1" applyBorder="1" applyAlignment="1">
      <alignment horizontal="right"/>
    </xf>
    <xf numFmtId="179" fontId="21" fillId="0" borderId="24" xfId="0" applyNumberFormat="1" applyFont="1" applyBorder="1" applyAlignment="1">
      <alignment horizontal="right"/>
    </xf>
    <xf numFmtId="187" fontId="30" fillId="0" borderId="14" xfId="0" applyNumberFormat="1" applyFont="1" applyBorder="1"/>
    <xf numFmtId="174" fontId="10" fillId="0" borderId="0" xfId="0" applyNumberFormat="1" applyFont="1" applyAlignment="1">
      <alignment horizontal="left"/>
    </xf>
    <xf numFmtId="168" fontId="12" fillId="0" borderId="12" xfId="0" applyNumberFormat="1" applyFont="1" applyBorder="1" applyAlignment="1">
      <alignment horizontal="right"/>
    </xf>
    <xf numFmtId="0" fontId="53" fillId="0" borderId="2" xfId="0" applyFont="1" applyBorder="1" applyAlignment="1">
      <alignment horizontal="center"/>
    </xf>
    <xf numFmtId="192" fontId="10" fillId="0" borderId="0" xfId="0" applyNumberFormat="1" applyFont="1" applyAlignment="1">
      <alignment horizontal="right"/>
    </xf>
    <xf numFmtId="178" fontId="12" fillId="0" borderId="16" xfId="1" applyNumberFormat="1" applyFont="1" applyFill="1" applyBorder="1" applyAlignment="1">
      <alignment horizontal="right"/>
    </xf>
    <xf numFmtId="0" fontId="53" fillId="0" borderId="17" xfId="0" applyFont="1" applyBorder="1" applyAlignment="1">
      <alignment horizontal="center"/>
    </xf>
    <xf numFmtId="0" fontId="12" fillId="0" borderId="18" xfId="0" applyFont="1" applyBorder="1" applyAlignment="1">
      <alignment horizontal="left"/>
    </xf>
    <xf numFmtId="168" fontId="30" fillId="0" borderId="0" xfId="0" applyNumberFormat="1" applyFont="1"/>
    <xf numFmtId="186" fontId="12" fillId="0" borderId="0" xfId="0" applyNumberFormat="1" applyFont="1" applyAlignment="1">
      <alignment horizontal="left"/>
    </xf>
    <xf numFmtId="168" fontId="21" fillId="2" borderId="23" xfId="0" applyNumberFormat="1" applyFont="1" applyFill="1" applyBorder="1"/>
    <xf numFmtId="168" fontId="21" fillId="2" borderId="24" xfId="0" applyNumberFormat="1" applyFont="1" applyFill="1" applyBorder="1"/>
    <xf numFmtId="168" fontId="21" fillId="2" borderId="25" xfId="0" applyNumberFormat="1" applyFont="1" applyFill="1" applyBorder="1"/>
    <xf numFmtId="49" fontId="12" fillId="0" borderId="0" xfId="0" applyNumberFormat="1" applyFont="1" applyAlignment="1">
      <alignment horizontal="left"/>
    </xf>
    <xf numFmtId="9" fontId="10" fillId="0" borderId="0" xfId="1" applyFont="1" applyBorder="1" applyAlignment="1">
      <alignment horizontal="right"/>
    </xf>
    <xf numFmtId="193" fontId="28" fillId="5" borderId="0" xfId="0" applyNumberFormat="1" applyFont="1" applyFill="1" applyAlignment="1">
      <alignment vertical="center"/>
    </xf>
    <xf numFmtId="0" fontId="53" fillId="0" borderId="0" xfId="0" applyFont="1" applyAlignment="1">
      <alignment horizontal="center"/>
    </xf>
    <xf numFmtId="0" fontId="21" fillId="0" borderId="0" xfId="0" applyFont="1"/>
    <xf numFmtId="0" fontId="21" fillId="0" borderId="2" xfId="0" applyFont="1" applyBorder="1"/>
    <xf numFmtId="187" fontId="12" fillId="0" borderId="0" xfId="0" applyNumberFormat="1" applyFont="1"/>
    <xf numFmtId="187" fontId="12" fillId="0" borderId="2" xfId="0" applyNumberFormat="1" applyFont="1" applyBorder="1"/>
    <xf numFmtId="0" fontId="12" fillId="0" borderId="2" xfId="0" applyFont="1" applyBorder="1"/>
    <xf numFmtId="0" fontId="10" fillId="0" borderId="2" xfId="0" applyFont="1" applyBorder="1"/>
    <xf numFmtId="0" fontId="14" fillId="0" borderId="2" xfId="0" applyFont="1" applyBorder="1"/>
    <xf numFmtId="187" fontId="23" fillId="0" borderId="0" xfId="0" applyNumberFormat="1" applyFont="1"/>
    <xf numFmtId="38" fontId="12" fillId="0" borderId="0" xfId="0" applyNumberFormat="1" applyFont="1"/>
    <xf numFmtId="40" fontId="12" fillId="0" borderId="0" xfId="0" applyNumberFormat="1" applyFont="1"/>
    <xf numFmtId="0" fontId="27" fillId="0" borderId="0" xfId="0" applyFont="1" applyAlignment="1">
      <alignment horizontal="center"/>
    </xf>
    <xf numFmtId="168" fontId="21" fillId="0" borderId="12" xfId="0" applyNumberFormat="1" applyFont="1" applyBorder="1"/>
    <xf numFmtId="168" fontId="21" fillId="0" borderId="13" xfId="0" applyNumberFormat="1" applyFont="1" applyBorder="1"/>
    <xf numFmtId="168" fontId="21" fillId="0" borderId="14" xfId="0" applyNumberFormat="1" applyFont="1" applyBorder="1"/>
    <xf numFmtId="168" fontId="21" fillId="0" borderId="15" xfId="0" applyNumberFormat="1" applyFont="1" applyBorder="1"/>
    <xf numFmtId="170" fontId="30" fillId="0" borderId="0" xfId="1" applyNumberFormat="1" applyFont="1" applyFill="1" applyBorder="1"/>
    <xf numFmtId="170" fontId="30" fillId="0" borderId="2" xfId="1" applyNumberFormat="1" applyFont="1" applyFill="1" applyBorder="1"/>
    <xf numFmtId="168" fontId="30" fillId="0" borderId="2" xfId="0" applyNumberFormat="1" applyFont="1" applyBorder="1"/>
    <xf numFmtId="0" fontId="21" fillId="0" borderId="2" xfId="0" applyFont="1" applyBorder="1" applyAlignment="1">
      <alignment horizontal="left"/>
    </xf>
    <xf numFmtId="178" fontId="21" fillId="0" borderId="0" xfId="0" applyNumberFormat="1" applyFont="1"/>
    <xf numFmtId="178" fontId="21" fillId="0" borderId="2" xfId="0" applyNumberFormat="1" applyFont="1" applyBorder="1"/>
    <xf numFmtId="170" fontId="21" fillId="0" borderId="0" xfId="1" applyNumberFormat="1" applyFont="1" applyFill="1" applyBorder="1"/>
    <xf numFmtId="187" fontId="21" fillId="0" borderId="2" xfId="0" applyNumberFormat="1" applyFont="1" applyBorder="1"/>
    <xf numFmtId="170" fontId="21" fillId="0" borderId="2" xfId="1" applyNumberFormat="1" applyFont="1" applyFill="1" applyBorder="1"/>
    <xf numFmtId="168" fontId="12" fillId="0" borderId="2" xfId="0" applyNumberFormat="1" applyFont="1" applyBorder="1"/>
    <xf numFmtId="0" fontId="37" fillId="0" borderId="0" xfId="0" applyFont="1" applyAlignment="1">
      <alignment horizontal="left"/>
    </xf>
    <xf numFmtId="178" fontId="12" fillId="0" borderId="2" xfId="0" applyNumberFormat="1" applyFont="1" applyBorder="1"/>
    <xf numFmtId="178" fontId="30" fillId="0" borderId="2" xfId="0" applyNumberFormat="1" applyFont="1" applyBorder="1"/>
    <xf numFmtId="178" fontId="12" fillId="0" borderId="0" xfId="0" applyNumberFormat="1" applyFont="1"/>
    <xf numFmtId="178" fontId="30" fillId="0" borderId="0" xfId="0" applyNumberFormat="1" applyFont="1"/>
    <xf numFmtId="187" fontId="54" fillId="0" borderId="0" xfId="0" applyNumberFormat="1" applyFont="1" applyAlignment="1">
      <alignment horizontal="centerContinuous"/>
    </xf>
    <xf numFmtId="169" fontId="21" fillId="0" borderId="0" xfId="0" applyNumberFormat="1" applyFont="1"/>
    <xf numFmtId="169" fontId="30" fillId="0" borderId="0" xfId="0" applyNumberFormat="1" applyFont="1"/>
    <xf numFmtId="169" fontId="21" fillId="0" borderId="12" xfId="0" applyNumberFormat="1" applyFont="1" applyBorder="1"/>
    <xf numFmtId="169" fontId="21" fillId="0" borderId="2" xfId="0" applyNumberFormat="1" applyFont="1" applyBorder="1"/>
    <xf numFmtId="169" fontId="21" fillId="0" borderId="13" xfId="0" applyNumberFormat="1" applyFont="1" applyBorder="1"/>
    <xf numFmtId="165" fontId="21" fillId="0" borderId="26" xfId="0" applyNumberFormat="1" applyFont="1" applyBorder="1"/>
    <xf numFmtId="165" fontId="21" fillId="0" borderId="27" xfId="0" applyNumberFormat="1" applyFont="1" applyBorder="1"/>
    <xf numFmtId="165" fontId="21" fillId="0" borderId="28" xfId="0" applyNumberFormat="1" applyFont="1" applyBorder="1"/>
    <xf numFmtId="194" fontId="53" fillId="0" borderId="0" xfId="0" applyNumberFormat="1" applyFont="1" applyAlignment="1">
      <alignment horizontal="left" indent="1"/>
    </xf>
    <xf numFmtId="168" fontId="21" fillId="0" borderId="9" xfId="0" applyNumberFormat="1" applyFont="1" applyBorder="1" applyAlignment="1">
      <alignment horizontal="right" vertical="center"/>
    </xf>
    <xf numFmtId="169" fontId="21" fillId="2" borderId="2" xfId="0" applyNumberFormat="1" applyFont="1" applyFill="1" applyBorder="1"/>
    <xf numFmtId="169" fontId="21" fillId="0" borderId="17" xfId="0" applyNumberFormat="1" applyFont="1" applyBorder="1"/>
    <xf numFmtId="169" fontId="12" fillId="0" borderId="0" xfId="0" applyNumberFormat="1" applyFont="1"/>
    <xf numFmtId="169" fontId="21" fillId="2" borderId="0" xfId="0" applyNumberFormat="1" applyFont="1" applyFill="1"/>
    <xf numFmtId="175" fontId="30" fillId="0" borderId="0" xfId="0" applyNumberFormat="1" applyFont="1"/>
    <xf numFmtId="180" fontId="7" fillId="0" borderId="0" xfId="7" applyNumberFormat="1" applyFont="1" applyFill="1" applyProtection="1">
      <protection locked="0"/>
    </xf>
    <xf numFmtId="182" fontId="10" fillId="0" borderId="2" xfId="0" applyNumberFormat="1" applyFont="1" applyBorder="1"/>
    <xf numFmtId="168" fontId="37" fillId="0" borderId="0" xfId="6" applyNumberFormat="1" applyFont="1" applyFill="1" applyBorder="1" applyAlignment="1">
      <alignment horizontal="right"/>
    </xf>
    <xf numFmtId="0" fontId="22" fillId="0" borderId="0" xfId="0" applyFont="1" applyAlignment="1">
      <alignment horizontal="left" indent="1"/>
    </xf>
    <xf numFmtId="182" fontId="10" fillId="2" borderId="9" xfId="0" applyNumberFormat="1" applyFont="1" applyFill="1" applyBorder="1" applyAlignment="1">
      <alignment horizontal="right" vertical="center"/>
    </xf>
    <xf numFmtId="182" fontId="26" fillId="0" borderId="9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 indent="1"/>
    </xf>
    <xf numFmtId="182" fontId="10" fillId="0" borderId="0" xfId="0" applyNumberFormat="1" applyFont="1"/>
    <xf numFmtId="182" fontId="26" fillId="0" borderId="0" xfId="0" applyNumberFormat="1" applyFont="1"/>
    <xf numFmtId="182" fontId="12" fillId="2" borderId="17" xfId="0" applyNumberFormat="1" applyFont="1" applyFill="1" applyBorder="1"/>
    <xf numFmtId="182" fontId="30" fillId="0" borderId="17" xfId="0" applyNumberFormat="1" applyFont="1" applyBorder="1"/>
    <xf numFmtId="182" fontId="21" fillId="2" borderId="0" xfId="0" applyNumberFormat="1" applyFont="1" applyFill="1"/>
    <xf numFmtId="182" fontId="30" fillId="0" borderId="0" xfId="0" applyNumberFormat="1" applyFont="1"/>
    <xf numFmtId="182" fontId="12" fillId="2" borderId="0" xfId="0" applyNumberFormat="1" applyFont="1" applyFill="1"/>
    <xf numFmtId="168" fontId="30" fillId="0" borderId="0" xfId="0" applyNumberFormat="1" applyFont="1" applyAlignment="1">
      <alignment horizontal="right"/>
    </xf>
    <xf numFmtId="187" fontId="7" fillId="0" borderId="0" xfId="0" applyNumberFormat="1" applyFont="1"/>
    <xf numFmtId="168" fontId="12" fillId="2" borderId="0" xfId="0" applyNumberFormat="1" applyFont="1" applyFill="1" applyAlignment="1">
      <alignment horizontal="right"/>
    </xf>
    <xf numFmtId="168" fontId="12" fillId="2" borderId="2" xfId="0" applyNumberFormat="1" applyFont="1" applyFill="1" applyBorder="1" applyAlignment="1">
      <alignment horizontal="right"/>
    </xf>
    <xf numFmtId="168" fontId="30" fillId="0" borderId="2" xfId="0" applyNumberFormat="1" applyFont="1" applyBorder="1" applyAlignment="1">
      <alignment horizontal="right"/>
    </xf>
    <xf numFmtId="187" fontId="25" fillId="2" borderId="9" xfId="0" applyNumberFormat="1" applyFont="1" applyFill="1" applyBorder="1" applyAlignment="1">
      <alignment horizontal="right" vertical="center"/>
    </xf>
    <xf numFmtId="187" fontId="26" fillId="0" borderId="9" xfId="0" applyNumberFormat="1" applyFont="1" applyBorder="1" applyAlignment="1">
      <alignment horizontal="right" vertical="center"/>
    </xf>
    <xf numFmtId="187" fontId="12" fillId="2" borderId="0" xfId="0" applyNumberFormat="1" applyFont="1" applyFill="1"/>
    <xf numFmtId="187" fontId="12" fillId="2" borderId="17" xfId="0" applyNumberFormat="1" applyFont="1" applyFill="1" applyBorder="1"/>
    <xf numFmtId="187" fontId="30" fillId="0" borderId="17" xfId="0" applyNumberFormat="1" applyFont="1" applyBorder="1"/>
    <xf numFmtId="187" fontId="21" fillId="2" borderId="0" xfId="0" applyNumberFormat="1" applyFont="1" applyFill="1"/>
    <xf numFmtId="187" fontId="17" fillId="0" borderId="0" xfId="0" applyNumberFormat="1" applyFont="1"/>
    <xf numFmtId="187" fontId="55" fillId="0" borderId="0" xfId="0" applyNumberFormat="1" applyFont="1"/>
    <xf numFmtId="0" fontId="12" fillId="0" borderId="0" xfId="0" applyFont="1" applyAlignment="1">
      <alignment horizontal="left" indent="2"/>
    </xf>
    <xf numFmtId="187" fontId="12" fillId="0" borderId="0" xfId="0" applyNumberFormat="1" applyFont="1" applyAlignment="1">
      <alignment horizontal="right"/>
    </xf>
    <xf numFmtId="187" fontId="23" fillId="0" borderId="0" xfId="0" applyNumberFormat="1" applyFont="1" applyAlignment="1">
      <alignment horizontal="right"/>
    </xf>
    <xf numFmtId="168" fontId="10" fillId="2" borderId="22" xfId="0" applyNumberFormat="1" applyFont="1" applyFill="1" applyBorder="1" applyAlignment="1">
      <alignment horizontal="right" vertical="center"/>
    </xf>
    <xf numFmtId="168" fontId="26" fillId="0" borderId="22" xfId="0" applyNumberFormat="1" applyFont="1" applyBorder="1" applyAlignment="1">
      <alignment horizontal="right" vertical="center"/>
    </xf>
    <xf numFmtId="168" fontId="12" fillId="0" borderId="0" xfId="0" applyNumberFormat="1" applyFont="1" applyAlignment="1">
      <alignment horizontal="right"/>
    </xf>
    <xf numFmtId="168" fontId="21" fillId="2" borderId="2" xfId="0" applyNumberFormat="1" applyFont="1" applyFill="1" applyBorder="1" applyAlignment="1">
      <alignment horizontal="right"/>
    </xf>
    <xf numFmtId="168" fontId="26" fillId="0" borderId="0" xfId="0" applyNumberFormat="1" applyFont="1" applyAlignment="1">
      <alignment horizontal="right"/>
    </xf>
    <xf numFmtId="168" fontId="10" fillId="2" borderId="0" xfId="0" applyNumberFormat="1" applyFont="1" applyFill="1" applyAlignment="1">
      <alignment horizontal="right"/>
    </xf>
    <xf numFmtId="168" fontId="26" fillId="0" borderId="0" xfId="1" applyNumberFormat="1" applyFont="1" applyFill="1" applyAlignment="1">
      <alignment horizontal="right"/>
    </xf>
    <xf numFmtId="168" fontId="10" fillId="0" borderId="0" xfId="1" applyNumberFormat="1" applyFont="1" applyBorder="1" applyAlignment="1">
      <alignment horizontal="right"/>
    </xf>
    <xf numFmtId="168" fontId="10" fillId="0" borderId="0" xfId="1" applyNumberFormat="1" applyFont="1" applyAlignment="1">
      <alignment horizontal="right"/>
    </xf>
    <xf numFmtId="169" fontId="21" fillId="0" borderId="23" xfId="0" applyNumberFormat="1" applyFont="1" applyBorder="1"/>
    <xf numFmtId="169" fontId="21" fillId="0" borderId="24" xfId="0" applyNumberFormat="1" applyFont="1" applyBorder="1"/>
    <xf numFmtId="169" fontId="30" fillId="0" borderId="24" xfId="0" applyNumberFormat="1" applyFont="1" applyBorder="1"/>
    <xf numFmtId="169" fontId="30" fillId="0" borderId="25" xfId="0" applyNumberFormat="1" applyFont="1" applyBorder="1"/>
    <xf numFmtId="195" fontId="56" fillId="0" borderId="0" xfId="7" applyNumberFormat="1" applyFont="1" applyAlignment="1" applyProtection="1">
      <alignment horizontal="center"/>
      <protection locked="0"/>
    </xf>
    <xf numFmtId="167" fontId="20" fillId="2" borderId="29" xfId="5" applyNumberFormat="1" applyFont="1" applyFill="1" applyBorder="1" applyAlignment="1" applyProtection="1">
      <alignment horizontal="center" vertical="center"/>
      <protection hidden="1"/>
    </xf>
    <xf numFmtId="168" fontId="1" fillId="2" borderId="1" xfId="0" applyNumberFormat="1" applyFont="1" applyFill="1" applyBorder="1" applyAlignment="1">
      <alignment horizontal="right"/>
    </xf>
    <xf numFmtId="168" fontId="1" fillId="2" borderId="30" xfId="0" applyNumberFormat="1" applyFont="1" applyFill="1" applyBorder="1" applyAlignment="1">
      <alignment horizontal="right"/>
    </xf>
    <xf numFmtId="167" fontId="20" fillId="2" borderId="31" xfId="5" applyNumberFormat="1" applyFont="1" applyFill="1" applyBorder="1" applyAlignment="1" applyProtection="1">
      <alignment horizontal="center" vertical="center"/>
      <protection hidden="1"/>
    </xf>
    <xf numFmtId="168" fontId="1" fillId="2" borderId="0" xfId="0" applyNumberFormat="1" applyFont="1" applyFill="1" applyAlignment="1">
      <alignment horizontal="right"/>
    </xf>
    <xf numFmtId="168" fontId="1" fillId="2" borderId="32" xfId="0" applyNumberFormat="1" applyFont="1" applyFill="1" applyBorder="1" applyAlignment="1">
      <alignment horizontal="right"/>
    </xf>
    <xf numFmtId="167" fontId="20" fillId="2" borderId="33" xfId="5" applyNumberFormat="1" applyFont="1" applyFill="1" applyBorder="1" applyAlignment="1" applyProtection="1">
      <alignment horizontal="center" vertical="center"/>
      <protection hidden="1"/>
    </xf>
    <xf numFmtId="168" fontId="1" fillId="2" borderId="34" xfId="0" applyNumberFormat="1" applyFont="1" applyFill="1" applyBorder="1" applyAlignment="1">
      <alignment horizontal="right"/>
    </xf>
    <xf numFmtId="168" fontId="1" fillId="2" borderId="35" xfId="0" applyNumberFormat="1" applyFont="1" applyFill="1" applyBorder="1" applyAlignment="1">
      <alignment horizontal="right"/>
    </xf>
    <xf numFmtId="167" fontId="20" fillId="2" borderId="36" xfId="5" applyNumberFormat="1" applyFont="1" applyFill="1" applyBorder="1" applyAlignment="1" applyProtection="1">
      <alignment horizontal="center" vertical="center"/>
      <protection hidden="1"/>
    </xf>
    <xf numFmtId="168" fontId="1" fillId="2" borderId="37" xfId="0" applyNumberFormat="1" applyFont="1" applyFill="1" applyBorder="1" applyAlignment="1">
      <alignment horizontal="right"/>
    </xf>
    <xf numFmtId="168" fontId="1" fillId="2" borderId="38" xfId="0" applyNumberFormat="1" applyFont="1" applyFill="1" applyBorder="1" applyAlignment="1">
      <alignment horizontal="right"/>
    </xf>
    <xf numFmtId="175" fontId="29" fillId="2" borderId="33" xfId="0" applyNumberFormat="1" applyFont="1" applyFill="1" applyBorder="1" applyAlignment="1">
      <alignment horizontal="center"/>
    </xf>
    <xf numFmtId="168" fontId="29" fillId="2" borderId="34" xfId="0" applyNumberFormat="1" applyFont="1" applyFill="1" applyBorder="1" applyAlignment="1">
      <alignment horizontal="right"/>
    </xf>
    <xf numFmtId="168" fontId="29" fillId="2" borderId="35" xfId="0" applyNumberFormat="1" applyFont="1" applyFill="1" applyBorder="1" applyAlignment="1">
      <alignment horizontal="right"/>
    </xf>
    <xf numFmtId="176" fontId="1" fillId="2" borderId="37" xfId="0" applyNumberFormat="1" applyFont="1" applyFill="1" applyBorder="1" applyAlignment="1">
      <alignment horizontal="right"/>
    </xf>
    <xf numFmtId="176" fontId="1" fillId="2" borderId="38" xfId="0" applyNumberFormat="1" applyFont="1" applyFill="1" applyBorder="1" applyAlignment="1">
      <alignment horizontal="right"/>
    </xf>
    <xf numFmtId="0" fontId="57" fillId="0" borderId="0" xfId="0" applyFont="1"/>
    <xf numFmtId="0" fontId="58" fillId="0" borderId="0" xfId="0" applyFont="1"/>
    <xf numFmtId="187" fontId="59" fillId="0" borderId="0" xfId="0" applyNumberFormat="1" applyFont="1"/>
    <xf numFmtId="187" fontId="57" fillId="0" borderId="0" xfId="0" applyNumberFormat="1" applyFont="1"/>
    <xf numFmtId="187" fontId="58" fillId="0" borderId="0" xfId="0" applyNumberFormat="1" applyFont="1"/>
    <xf numFmtId="180" fontId="58" fillId="0" borderId="0" xfId="7" applyNumberFormat="1" applyFont="1" applyProtection="1">
      <protection locked="0"/>
    </xf>
    <xf numFmtId="180" fontId="58" fillId="0" borderId="0" xfId="7" applyNumberFormat="1" applyFont="1" applyFill="1" applyProtection="1">
      <protection locked="0"/>
    </xf>
    <xf numFmtId="0" fontId="58" fillId="0" borderId="2" xfId="0" applyFont="1" applyBorder="1"/>
    <xf numFmtId="0" fontId="60" fillId="0" borderId="0" xfId="0" applyFont="1"/>
    <xf numFmtId="0" fontId="60" fillId="0" borderId="0" xfId="0" applyFont="1" applyAlignment="1">
      <alignment horizontal="left" indent="1"/>
    </xf>
    <xf numFmtId="0" fontId="59" fillId="0" borderId="0" xfId="0" applyFont="1"/>
    <xf numFmtId="0" fontId="57" fillId="0" borderId="2" xfId="0" applyFont="1" applyBorder="1"/>
    <xf numFmtId="0" fontId="61" fillId="0" borderId="0" xfId="0" applyFont="1"/>
    <xf numFmtId="0" fontId="62" fillId="0" borderId="0" xfId="0" applyFont="1"/>
    <xf numFmtId="0" fontId="58" fillId="0" borderId="0" xfId="0" applyFont="1" applyFill="1"/>
    <xf numFmtId="0" fontId="58" fillId="0" borderId="0" xfId="0" applyFont="1" applyFill="1" applyBorder="1"/>
    <xf numFmtId="0" fontId="62" fillId="0" borderId="0" xfId="0" applyFont="1" applyAlignment="1">
      <alignment horizontal="left"/>
    </xf>
    <xf numFmtId="37" fontId="63" fillId="0" borderId="0" xfId="0" applyNumberFormat="1" applyFont="1" applyAlignment="1">
      <alignment vertical="center"/>
    </xf>
    <xf numFmtId="0" fontId="64" fillId="0" borderId="0" xfId="0" applyFont="1" applyAlignment="1">
      <alignment horizontal="center"/>
    </xf>
    <xf numFmtId="174" fontId="65" fillId="0" borderId="0" xfId="0" applyNumberFormat="1" applyFont="1" applyAlignment="1">
      <alignment horizontal="right"/>
    </xf>
    <xf numFmtId="168" fontId="59" fillId="0" borderId="0" xfId="0" applyNumberFormat="1" applyFont="1"/>
    <xf numFmtId="168" fontId="57" fillId="0" borderId="0" xfId="0" applyNumberFormat="1" applyFont="1"/>
    <xf numFmtId="0" fontId="66" fillId="0" borderId="0" xfId="0" applyFont="1" applyAlignment="1">
      <alignment horizontal="left"/>
    </xf>
    <xf numFmtId="37" fontId="67" fillId="5" borderId="0" xfId="0" applyNumberFormat="1" applyFont="1" applyFill="1" applyAlignment="1">
      <alignment vertical="center"/>
    </xf>
    <xf numFmtId="37" fontId="63" fillId="5" borderId="0" xfId="0" applyNumberFormat="1" applyFont="1" applyFill="1" applyAlignment="1">
      <alignment vertical="center"/>
    </xf>
    <xf numFmtId="37" fontId="68" fillId="5" borderId="0" xfId="0" applyNumberFormat="1" applyFont="1" applyFill="1" applyAlignment="1">
      <alignment vertical="center"/>
    </xf>
    <xf numFmtId="174" fontId="63" fillId="5" borderId="0" xfId="0" applyNumberFormat="1" applyFont="1" applyFill="1" applyAlignment="1">
      <alignment horizontal="right"/>
    </xf>
    <xf numFmtId="37" fontId="58" fillId="0" borderId="0" xfId="0" applyNumberFormat="1" applyFont="1" applyAlignment="1">
      <alignment vertical="center"/>
    </xf>
    <xf numFmtId="37" fontId="69" fillId="0" borderId="0" xfId="0" applyNumberFormat="1" applyFont="1" applyAlignment="1">
      <alignment vertical="center"/>
    </xf>
    <xf numFmtId="37" fontId="68" fillId="0" borderId="0" xfId="0" applyNumberFormat="1" applyFont="1" applyAlignment="1">
      <alignment vertical="center"/>
    </xf>
    <xf numFmtId="174" fontId="63" fillId="0" borderId="0" xfId="0" applyNumberFormat="1" applyFont="1" applyAlignment="1">
      <alignment horizontal="right"/>
    </xf>
    <xf numFmtId="0" fontId="70" fillId="0" borderId="0" xfId="0" applyFont="1" applyAlignment="1">
      <alignment horizontal="left"/>
    </xf>
    <xf numFmtId="164" fontId="64" fillId="0" borderId="0" xfId="0" applyNumberFormat="1" applyFont="1" applyAlignment="1">
      <alignment vertical="center"/>
    </xf>
    <xf numFmtId="174" fontId="65" fillId="0" borderId="20" xfId="0" applyNumberFormat="1" applyFont="1" applyBorder="1" applyAlignment="1">
      <alignment horizontal="right" vertical="center"/>
    </xf>
    <xf numFmtId="172" fontId="65" fillId="0" borderId="19" xfId="0" applyNumberFormat="1" applyFont="1" applyBorder="1" applyAlignment="1">
      <alignment horizontal="right" vertical="center"/>
    </xf>
    <xf numFmtId="0" fontId="71" fillId="0" borderId="0" xfId="0" applyFont="1" applyAlignment="1">
      <alignment horizontal="left"/>
    </xf>
    <xf numFmtId="172" fontId="65" fillId="0" borderId="0" xfId="0" applyNumberFormat="1" applyFont="1" applyAlignment="1">
      <alignment horizontal="right"/>
    </xf>
    <xf numFmtId="169" fontId="59" fillId="0" borderId="25" xfId="0" applyNumberFormat="1" applyFont="1" applyBorder="1"/>
    <xf numFmtId="169" fontId="59" fillId="0" borderId="24" xfId="0" applyNumberFormat="1" applyFont="1" applyBorder="1"/>
    <xf numFmtId="169" fontId="62" fillId="0" borderId="24" xfId="0" applyNumberFormat="1" applyFont="1" applyBorder="1"/>
    <xf numFmtId="169" fontId="62" fillId="0" borderId="23" xfId="0" applyNumberFormat="1" applyFont="1" applyBorder="1"/>
    <xf numFmtId="169" fontId="59" fillId="0" borderId="0" xfId="0" applyNumberFormat="1" applyFont="1"/>
    <xf numFmtId="0" fontId="62" fillId="0" borderId="0" xfId="0" applyFont="1" applyAlignment="1">
      <alignment horizontal="left" indent="1"/>
    </xf>
    <xf numFmtId="168" fontId="59" fillId="0" borderId="0" xfId="0" applyNumberFormat="1" applyFont="1" applyAlignment="1">
      <alignment horizontal="right"/>
    </xf>
    <xf numFmtId="168" fontId="62" fillId="2" borderId="0" xfId="0" applyNumberFormat="1" applyFont="1" applyFill="1" applyAlignment="1">
      <alignment horizontal="right"/>
    </xf>
    <xf numFmtId="167" fontId="72" fillId="0" borderId="0" xfId="5" applyNumberFormat="1" applyFont="1" applyAlignment="1" applyProtection="1">
      <alignment horizontal="center" vertical="center"/>
      <protection hidden="1"/>
    </xf>
    <xf numFmtId="168" fontId="59" fillId="0" borderId="2" xfId="0" applyNumberFormat="1" applyFont="1" applyBorder="1" applyAlignment="1">
      <alignment horizontal="right"/>
    </xf>
    <xf numFmtId="168" fontId="62" fillId="2" borderId="2" xfId="0" applyNumberFormat="1" applyFont="1" applyFill="1" applyBorder="1" applyAlignment="1">
      <alignment horizontal="right"/>
    </xf>
    <xf numFmtId="0" fontId="73" fillId="0" borderId="0" xfId="0" applyFont="1" applyAlignment="1">
      <alignment horizontal="left" indent="1"/>
    </xf>
    <xf numFmtId="0" fontId="65" fillId="0" borderId="0" xfId="0" applyFont="1"/>
    <xf numFmtId="168" fontId="67" fillId="0" borderId="0" xfId="0" applyNumberFormat="1" applyFont="1" applyAlignment="1">
      <alignment horizontal="right"/>
    </xf>
    <xf numFmtId="168" fontId="65" fillId="2" borderId="0" xfId="0" applyNumberFormat="1" applyFont="1" applyFill="1" applyAlignment="1">
      <alignment horizontal="right"/>
    </xf>
    <xf numFmtId="168" fontId="67" fillId="0" borderId="0" xfId="1" applyNumberFormat="1" applyFont="1" applyFill="1" applyAlignment="1">
      <alignment horizontal="right"/>
    </xf>
    <xf numFmtId="168" fontId="65" fillId="0" borderId="0" xfId="0" applyNumberFormat="1" applyFont="1" applyAlignment="1">
      <alignment horizontal="right"/>
    </xf>
    <xf numFmtId="168" fontId="65" fillId="0" borderId="0" xfId="1" applyNumberFormat="1" applyFont="1" applyAlignment="1">
      <alignment horizontal="right"/>
    </xf>
    <xf numFmtId="168" fontId="65" fillId="0" borderId="0" xfId="1" applyNumberFormat="1" applyFont="1" applyBorder="1" applyAlignment="1">
      <alignment horizontal="right"/>
    </xf>
    <xf numFmtId="168" fontId="57" fillId="2" borderId="0" xfId="0" applyNumberFormat="1" applyFont="1" applyFill="1" applyAlignment="1">
      <alignment horizontal="right"/>
    </xf>
    <xf numFmtId="168" fontId="57" fillId="2" borderId="2" xfId="0" applyNumberFormat="1" applyFont="1" applyFill="1" applyBorder="1" applyAlignment="1">
      <alignment horizontal="right"/>
    </xf>
    <xf numFmtId="168" fontId="57" fillId="0" borderId="0" xfId="0" applyNumberFormat="1" applyFont="1" applyAlignment="1">
      <alignment horizontal="right"/>
    </xf>
    <xf numFmtId="168" fontId="67" fillId="0" borderId="22" xfId="0" applyNumberFormat="1" applyFont="1" applyBorder="1" applyAlignment="1">
      <alignment horizontal="right" vertical="center"/>
    </xf>
    <xf numFmtId="168" fontId="65" fillId="2" borderId="22" xfId="0" applyNumberFormat="1" applyFont="1" applyFill="1" applyBorder="1" applyAlignment="1">
      <alignment horizontal="right" vertical="center"/>
    </xf>
    <xf numFmtId="182" fontId="65" fillId="0" borderId="0" xfId="0" applyNumberFormat="1" applyFont="1"/>
    <xf numFmtId="0" fontId="65" fillId="0" borderId="2" xfId="0" applyFont="1" applyBorder="1"/>
    <xf numFmtId="182" fontId="65" fillId="0" borderId="2" xfId="0" applyNumberFormat="1" applyFont="1" applyBorder="1"/>
    <xf numFmtId="187" fontId="62" fillId="0" borderId="0" xfId="0" applyNumberFormat="1" applyFont="1"/>
    <xf numFmtId="187" fontId="74" fillId="0" borderId="0" xfId="0" applyNumberFormat="1" applyFont="1" applyAlignment="1">
      <alignment horizontal="right"/>
    </xf>
    <xf numFmtId="187" fontId="57" fillId="0" borderId="0" xfId="0" applyNumberFormat="1" applyFont="1" applyAlignment="1">
      <alignment horizontal="right"/>
    </xf>
    <xf numFmtId="169" fontId="62" fillId="0" borderId="0" xfId="0" applyNumberFormat="1" applyFont="1"/>
    <xf numFmtId="0" fontId="57" fillId="0" borderId="0" xfId="0" applyFont="1" applyAlignment="1">
      <alignment horizontal="left" indent="1"/>
    </xf>
    <xf numFmtId="187" fontId="62" fillId="2" borderId="0" xfId="0" applyNumberFormat="1" applyFont="1" applyFill="1"/>
    <xf numFmtId="0" fontId="57" fillId="0" borderId="0" xfId="0" applyFont="1" applyAlignment="1">
      <alignment horizontal="left" indent="2"/>
    </xf>
    <xf numFmtId="187" fontId="59" fillId="0" borderId="17" xfId="0" applyNumberFormat="1" applyFont="1" applyBorder="1"/>
    <xf numFmtId="187" fontId="57" fillId="2" borderId="17" xfId="0" applyNumberFormat="1" applyFont="1" applyFill="1" applyBorder="1"/>
    <xf numFmtId="187" fontId="57" fillId="2" borderId="0" xfId="0" applyNumberFormat="1" applyFont="1" applyFill="1"/>
    <xf numFmtId="187" fontId="67" fillId="0" borderId="9" xfId="0" applyNumberFormat="1" applyFont="1" applyBorder="1" applyAlignment="1">
      <alignment horizontal="right" vertical="center"/>
    </xf>
    <xf numFmtId="187" fontId="73" fillId="2" borderId="9" xfId="0" applyNumberFormat="1" applyFont="1" applyFill="1" applyBorder="1" applyAlignment="1">
      <alignment horizontal="right" vertical="center"/>
    </xf>
    <xf numFmtId="187" fontId="74" fillId="0" borderId="0" xfId="0" applyNumberFormat="1" applyFont="1"/>
    <xf numFmtId="0" fontId="65" fillId="0" borderId="0" xfId="0" applyFont="1" applyAlignment="1">
      <alignment horizontal="left" indent="1"/>
    </xf>
    <xf numFmtId="182" fontId="59" fillId="0" borderId="0" xfId="0" applyNumberFormat="1" applyFont="1"/>
    <xf numFmtId="182" fontId="57" fillId="0" borderId="0" xfId="0" applyNumberFormat="1" applyFont="1"/>
    <xf numFmtId="182" fontId="57" fillId="2" borderId="0" xfId="0" applyNumberFormat="1" applyFont="1" applyFill="1"/>
    <xf numFmtId="182" fontId="67" fillId="0" borderId="9" xfId="0" applyNumberFormat="1" applyFont="1" applyBorder="1" applyAlignment="1">
      <alignment horizontal="right" vertical="center"/>
    </xf>
    <xf numFmtId="182" fontId="65" fillId="2" borderId="9" xfId="0" applyNumberFormat="1" applyFont="1" applyFill="1" applyBorder="1" applyAlignment="1">
      <alignment horizontal="right" vertical="center"/>
    </xf>
    <xf numFmtId="182" fontId="59" fillId="0" borderId="17" xfId="0" applyNumberFormat="1" applyFont="1" applyBorder="1"/>
    <xf numFmtId="182" fontId="57" fillId="2" borderId="17" xfId="0" applyNumberFormat="1" applyFont="1" applyFill="1" applyBorder="1"/>
    <xf numFmtId="182" fontId="62" fillId="2" borderId="0" xfId="0" applyNumberFormat="1" applyFont="1" applyFill="1"/>
    <xf numFmtId="182" fontId="67" fillId="0" borderId="0" xfId="0" applyNumberFormat="1" applyFont="1"/>
    <xf numFmtId="0" fontId="64" fillId="0" borderId="0" xfId="0" applyFont="1" applyAlignment="1">
      <alignment horizontal="left" indent="1"/>
    </xf>
    <xf numFmtId="168" fontId="75" fillId="0" borderId="0" xfId="6" applyNumberFormat="1" applyFont="1" applyFill="1" applyBorder="1" applyAlignment="1">
      <alignment horizontal="right"/>
    </xf>
    <xf numFmtId="0" fontId="61" fillId="0" borderId="0" xfId="0" applyFont="1" applyAlignment="1">
      <alignment horizontal="left"/>
    </xf>
    <xf numFmtId="37" fontId="67" fillId="0" borderId="0" xfId="0" applyNumberFormat="1" applyFont="1" applyAlignment="1">
      <alignment vertical="center"/>
    </xf>
    <xf numFmtId="0" fontId="73" fillId="0" borderId="0" xfId="0" applyFont="1" applyAlignment="1">
      <alignment horizontal="left"/>
    </xf>
    <xf numFmtId="175" fontId="59" fillId="0" borderId="0" xfId="0" applyNumberFormat="1" applyFont="1"/>
    <xf numFmtId="169" fontId="62" fillId="2" borderId="0" xfId="0" applyNumberFormat="1" applyFont="1" applyFill="1"/>
    <xf numFmtId="169" fontId="57" fillId="0" borderId="0" xfId="0" applyNumberFormat="1" applyFont="1"/>
    <xf numFmtId="168" fontId="62" fillId="0" borderId="0" xfId="0" applyNumberFormat="1" applyFont="1"/>
    <xf numFmtId="169" fontId="62" fillId="0" borderId="17" xfId="0" applyNumberFormat="1" applyFont="1" applyBorder="1"/>
    <xf numFmtId="37" fontId="63" fillId="0" borderId="2" xfId="0" applyNumberFormat="1" applyFont="1" applyBorder="1" applyAlignment="1">
      <alignment vertical="center"/>
    </xf>
    <xf numFmtId="0" fontId="64" fillId="0" borderId="2" xfId="0" applyFont="1" applyBorder="1" applyAlignment="1">
      <alignment horizontal="center"/>
    </xf>
    <xf numFmtId="174" fontId="65" fillId="0" borderId="2" xfId="0" applyNumberFormat="1" applyFont="1" applyBorder="1" applyAlignment="1">
      <alignment horizontal="right"/>
    </xf>
    <xf numFmtId="168" fontId="62" fillId="0" borderId="2" xfId="0" applyNumberFormat="1" applyFont="1" applyBorder="1"/>
    <xf numFmtId="168" fontId="62" fillId="0" borderId="17" xfId="0" applyNumberFormat="1" applyFont="1" applyBorder="1"/>
    <xf numFmtId="170" fontId="62" fillId="0" borderId="0" xfId="1" applyNumberFormat="1" applyFont="1" applyFill="1" applyBorder="1"/>
    <xf numFmtId="169" fontId="62" fillId="0" borderId="2" xfId="0" applyNumberFormat="1" applyFont="1" applyBorder="1"/>
    <xf numFmtId="169" fontId="62" fillId="2" borderId="2" xfId="0" applyNumberFormat="1" applyFont="1" applyFill="1" applyBorder="1"/>
    <xf numFmtId="178" fontId="59" fillId="0" borderId="0" xfId="0" applyNumberFormat="1" applyFont="1"/>
    <xf numFmtId="178" fontId="57" fillId="0" borderId="0" xfId="0" applyNumberFormat="1" applyFont="1"/>
    <xf numFmtId="178" fontId="62" fillId="0" borderId="0" xfId="0" applyNumberFormat="1" applyFont="1"/>
    <xf numFmtId="168" fontId="62" fillId="0" borderId="9" xfId="0" applyNumberFormat="1" applyFont="1" applyBorder="1" applyAlignment="1">
      <alignment horizontal="right" vertical="center"/>
    </xf>
    <xf numFmtId="194" fontId="64" fillId="0" borderId="0" xfId="0" applyNumberFormat="1" applyFont="1" applyAlignment="1">
      <alignment horizontal="left" indent="1"/>
    </xf>
    <xf numFmtId="165" fontId="62" fillId="0" borderId="28" xfId="0" applyNumberFormat="1" applyFont="1" applyBorder="1"/>
    <xf numFmtId="165" fontId="62" fillId="0" borderId="27" xfId="0" applyNumberFormat="1" applyFont="1" applyBorder="1"/>
    <xf numFmtId="165" fontId="62" fillId="0" borderId="26" xfId="0" applyNumberFormat="1" applyFont="1" applyBorder="1"/>
    <xf numFmtId="168" fontId="62" fillId="0" borderId="18" xfId="0" applyNumberFormat="1" applyFont="1" applyBorder="1"/>
    <xf numFmtId="168" fontId="62" fillId="0" borderId="16" xfId="0" applyNumberFormat="1" applyFont="1" applyBorder="1"/>
    <xf numFmtId="169" fontId="62" fillId="0" borderId="13" xfId="0" applyNumberFormat="1" applyFont="1" applyBorder="1"/>
    <xf numFmtId="169" fontId="62" fillId="0" borderId="12" xfId="0" applyNumberFormat="1" applyFont="1" applyBorder="1"/>
    <xf numFmtId="187" fontId="76" fillId="0" borderId="0" xfId="0" applyNumberFormat="1" applyFont="1" applyAlignment="1">
      <alignment horizontal="centerContinuous"/>
    </xf>
    <xf numFmtId="178" fontId="59" fillId="0" borderId="2" xfId="0" applyNumberFormat="1" applyFont="1" applyBorder="1"/>
    <xf numFmtId="178" fontId="57" fillId="0" borderId="2" xfId="0" applyNumberFormat="1" applyFont="1" applyBorder="1"/>
    <xf numFmtId="0" fontId="62" fillId="0" borderId="2" xfId="0" applyFont="1" applyBorder="1" applyAlignment="1">
      <alignment horizontal="left"/>
    </xf>
    <xf numFmtId="0" fontId="62" fillId="0" borderId="2" xfId="0" applyFont="1" applyBorder="1"/>
    <xf numFmtId="187" fontId="62" fillId="0" borderId="2" xfId="0" applyNumberFormat="1" applyFont="1" applyBorder="1"/>
    <xf numFmtId="0" fontId="75" fillId="0" borderId="0" xfId="0" applyFont="1" applyAlignment="1">
      <alignment horizontal="left"/>
    </xf>
    <xf numFmtId="178" fontId="62" fillId="0" borderId="2" xfId="0" applyNumberFormat="1" applyFont="1" applyBorder="1"/>
    <xf numFmtId="168" fontId="59" fillId="0" borderId="2" xfId="0" applyNumberFormat="1" applyFont="1" applyBorder="1"/>
    <xf numFmtId="168" fontId="57" fillId="0" borderId="2" xfId="0" applyNumberFormat="1" applyFont="1" applyBorder="1"/>
    <xf numFmtId="170" fontId="62" fillId="0" borderId="2" xfId="1" applyNumberFormat="1" applyFont="1" applyFill="1" applyBorder="1"/>
    <xf numFmtId="168" fontId="62" fillId="0" borderId="22" xfId="0" applyNumberFormat="1" applyFont="1" applyBorder="1" applyAlignment="1">
      <alignment horizontal="right" vertical="center"/>
    </xf>
    <xf numFmtId="170" fontId="59" fillId="0" borderId="2" xfId="1" applyNumberFormat="1" applyFont="1" applyFill="1" applyBorder="1"/>
    <xf numFmtId="170" fontId="59" fillId="0" borderId="0" xfId="1" applyNumberFormat="1" applyFont="1" applyFill="1" applyBorder="1"/>
    <xf numFmtId="37" fontId="58" fillId="5" borderId="0" xfId="0" applyNumberFormat="1" applyFont="1" applyFill="1" applyAlignment="1">
      <alignment vertical="center"/>
    </xf>
    <xf numFmtId="183" fontId="64" fillId="5" borderId="0" xfId="0" applyNumberFormat="1" applyFont="1" applyFill="1" applyAlignment="1">
      <alignment horizontal="centerContinuous"/>
    </xf>
    <xf numFmtId="183" fontId="65" fillId="5" borderId="0" xfId="0" applyNumberFormat="1" applyFont="1" applyFill="1" applyAlignment="1">
      <alignment horizontal="centerContinuous"/>
    </xf>
    <xf numFmtId="168" fontId="62" fillId="0" borderId="15" xfId="0" applyNumberFormat="1" applyFont="1" applyBorder="1"/>
    <xf numFmtId="168" fontId="62" fillId="0" borderId="14" xfId="0" applyNumberFormat="1" applyFont="1" applyBorder="1"/>
    <xf numFmtId="168" fontId="62" fillId="0" borderId="13" xfId="0" applyNumberFormat="1" applyFont="1" applyBorder="1"/>
    <xf numFmtId="168" fontId="62" fillId="0" borderId="12" xfId="0" applyNumberFormat="1" applyFont="1" applyBorder="1"/>
    <xf numFmtId="40" fontId="57" fillId="0" borderId="0" xfId="0" applyNumberFormat="1" applyFont="1"/>
    <xf numFmtId="38" fontId="57" fillId="0" borderId="0" xfId="0" applyNumberFormat="1" applyFont="1"/>
    <xf numFmtId="182" fontId="77" fillId="0" borderId="0" xfId="0" applyNumberFormat="1" applyFont="1"/>
    <xf numFmtId="187" fontId="57" fillId="0" borderId="2" xfId="0" applyNumberFormat="1" applyFont="1" applyBorder="1"/>
    <xf numFmtId="186" fontId="57" fillId="0" borderId="0" xfId="0" quotePrefix="1" applyNumberFormat="1" applyFont="1" applyAlignment="1">
      <alignment horizontal="right"/>
    </xf>
    <xf numFmtId="193" fontId="67" fillId="5" borderId="0" xfId="0" applyNumberFormat="1" applyFont="1" applyFill="1" applyAlignment="1">
      <alignment vertical="center"/>
    </xf>
    <xf numFmtId="9" fontId="65" fillId="0" borderId="0" xfId="1" applyFont="1" applyBorder="1" applyAlignment="1">
      <alignment horizontal="right"/>
    </xf>
    <xf numFmtId="49" fontId="57" fillId="0" borderId="0" xfId="0" applyNumberFormat="1" applyFont="1" applyAlignment="1">
      <alignment horizontal="left"/>
    </xf>
    <xf numFmtId="168" fontId="62" fillId="2" borderId="25" xfId="0" applyNumberFormat="1" applyFont="1" applyFill="1" applyBorder="1"/>
    <xf numFmtId="168" fontId="62" fillId="2" borderId="24" xfId="0" applyNumberFormat="1" applyFont="1" applyFill="1" applyBorder="1"/>
    <xf numFmtId="168" fontId="62" fillId="2" borderId="23" xfId="0" applyNumberFormat="1" applyFont="1" applyFill="1" applyBorder="1"/>
    <xf numFmtId="186" fontId="57" fillId="0" borderId="0" xfId="0" applyNumberFormat="1" applyFont="1" applyAlignment="1">
      <alignment horizontal="left"/>
    </xf>
    <xf numFmtId="49" fontId="65" fillId="0" borderId="0" xfId="0" applyNumberFormat="1" applyFont="1" applyAlignment="1">
      <alignment horizontal="left"/>
    </xf>
    <xf numFmtId="0" fontId="65" fillId="0" borderId="0" xfId="0" applyFont="1" applyAlignment="1">
      <alignment horizontal="right"/>
    </xf>
    <xf numFmtId="0" fontId="65" fillId="0" borderId="0" xfId="0" applyFont="1" applyAlignment="1">
      <alignment horizontal="centerContinuous"/>
    </xf>
    <xf numFmtId="172" fontId="65" fillId="0" borderId="0" xfId="0" applyNumberFormat="1" applyFont="1" applyAlignment="1">
      <alignment horizontal="centerContinuous"/>
    </xf>
    <xf numFmtId="37" fontId="58" fillId="0" borderId="0" xfId="0" applyNumberFormat="1" applyFont="1" applyAlignment="1">
      <alignment horizontal="centerContinuous" vertical="center"/>
    </xf>
    <xf numFmtId="0" fontId="57" fillId="0" borderId="18" xfId="0" applyFont="1" applyBorder="1" applyAlignment="1">
      <alignment horizontal="left"/>
    </xf>
    <xf numFmtId="0" fontId="64" fillId="0" borderId="17" xfId="0" applyFont="1" applyBorder="1" applyAlignment="1">
      <alignment horizontal="center"/>
    </xf>
    <xf numFmtId="178" fontId="57" fillId="0" borderId="16" xfId="1" applyNumberFormat="1" applyFont="1" applyFill="1" applyBorder="1" applyAlignment="1">
      <alignment horizontal="right"/>
    </xf>
    <xf numFmtId="174" fontId="65" fillId="0" borderId="0" xfId="0" applyNumberFormat="1" applyFont="1" applyAlignment="1">
      <alignment horizontal="left"/>
    </xf>
    <xf numFmtId="192" fontId="65" fillId="0" borderId="0" xfId="0" applyNumberFormat="1" applyFont="1" applyAlignment="1">
      <alignment horizontal="right"/>
    </xf>
    <xf numFmtId="0" fontId="62" fillId="0" borderId="13" xfId="0" applyFont="1" applyBorder="1" applyAlignment="1">
      <alignment horizontal="left"/>
    </xf>
    <xf numFmtId="168" fontId="57" fillId="0" borderId="12" xfId="0" applyNumberFormat="1" applyFont="1" applyBorder="1" applyAlignment="1">
      <alignment horizontal="right"/>
    </xf>
    <xf numFmtId="187" fontId="59" fillId="0" borderId="14" xfId="0" applyNumberFormat="1" applyFont="1" applyBorder="1"/>
    <xf numFmtId="179" fontId="62" fillId="0" borderId="24" xfId="0" applyNumberFormat="1" applyFont="1" applyBorder="1" applyAlignment="1">
      <alignment horizontal="right"/>
    </xf>
    <xf numFmtId="179" fontId="62" fillId="0" borderId="23" xfId="0" applyNumberFormat="1" applyFont="1" applyBorder="1" applyAlignment="1">
      <alignment horizontal="right"/>
    </xf>
    <xf numFmtId="0" fontId="57" fillId="0" borderId="0" xfId="0" applyFont="1" applyAlignment="1">
      <alignment horizontal="left"/>
    </xf>
    <xf numFmtId="178" fontId="79" fillId="0" borderId="0" xfId="1" applyNumberFormat="1" applyFont="1" applyBorder="1" applyAlignment="1">
      <alignment horizontal="right"/>
    </xf>
    <xf numFmtId="179" fontId="62" fillId="0" borderId="0" xfId="0" applyNumberFormat="1" applyFont="1" applyAlignment="1">
      <alignment horizontal="right"/>
    </xf>
    <xf numFmtId="178" fontId="66" fillId="0" borderId="0" xfId="1" applyNumberFormat="1" applyFont="1" applyBorder="1" applyAlignment="1">
      <alignment horizontal="right"/>
    </xf>
    <xf numFmtId="0" fontId="77" fillId="0" borderId="0" xfId="0" applyFont="1" applyAlignment="1">
      <alignment horizontal="left"/>
    </xf>
    <xf numFmtId="0" fontId="65" fillId="0" borderId="0" xfId="0" applyFont="1" applyAlignment="1">
      <alignment horizontal="left"/>
    </xf>
    <xf numFmtId="191" fontId="65" fillId="0" borderId="0" xfId="0" applyNumberFormat="1" applyFont="1" applyAlignment="1">
      <alignment horizontal="right"/>
    </xf>
    <xf numFmtId="0" fontId="62" fillId="0" borderId="18" xfId="0" applyFont="1" applyBorder="1" applyAlignment="1">
      <alignment horizontal="left"/>
    </xf>
    <xf numFmtId="0" fontId="75" fillId="0" borderId="17" xfId="0" applyFont="1" applyBorder="1" applyAlignment="1">
      <alignment horizontal="center"/>
    </xf>
    <xf numFmtId="178" fontId="62" fillId="0" borderId="16" xfId="1" applyNumberFormat="1" applyFont="1" applyFill="1" applyBorder="1" applyAlignment="1">
      <alignment horizontal="right"/>
    </xf>
    <xf numFmtId="172" fontId="65" fillId="0" borderId="18" xfId="0" applyNumberFormat="1" applyFont="1" applyBorder="1" applyAlignment="1">
      <alignment horizontal="left"/>
    </xf>
    <xf numFmtId="189" fontId="62" fillId="0" borderId="17" xfId="0" applyNumberFormat="1" applyFont="1" applyBorder="1" applyAlignment="1">
      <alignment horizontal="left"/>
    </xf>
    <xf numFmtId="172" fontId="57" fillId="0" borderId="16" xfId="0" applyNumberFormat="1" applyFont="1" applyBorder="1" applyAlignment="1">
      <alignment horizontal="left"/>
    </xf>
    <xf numFmtId="179" fontId="62" fillId="0" borderId="17" xfId="0" applyNumberFormat="1" applyFont="1" applyBorder="1" applyAlignment="1">
      <alignment horizontal="right"/>
    </xf>
    <xf numFmtId="179" fontId="62" fillId="0" borderId="16" xfId="0" applyNumberFormat="1" applyFont="1" applyBorder="1" applyAlignment="1">
      <alignment horizontal="right"/>
    </xf>
    <xf numFmtId="0" fontId="75" fillId="0" borderId="2" xfId="0" applyFont="1" applyBorder="1" applyAlignment="1">
      <alignment horizontal="center"/>
    </xf>
    <xf numFmtId="179" fontId="62" fillId="0" borderId="12" xfId="0" applyNumberFormat="1" applyFont="1" applyBorder="1" applyAlignment="1">
      <alignment horizontal="right"/>
    </xf>
    <xf numFmtId="172" fontId="65" fillId="0" borderId="15" xfId="0" applyNumberFormat="1" applyFont="1" applyBorder="1" applyAlignment="1">
      <alignment horizontal="left"/>
    </xf>
    <xf numFmtId="189" fontId="62" fillId="0" borderId="0" xfId="0" applyNumberFormat="1" applyFont="1" applyAlignment="1">
      <alignment horizontal="left"/>
    </xf>
    <xf numFmtId="172" fontId="57" fillId="0" borderId="14" xfId="0" applyNumberFormat="1" applyFont="1" applyBorder="1" applyAlignment="1">
      <alignment horizontal="left"/>
    </xf>
    <xf numFmtId="179" fontId="62" fillId="0" borderId="14" xfId="0" applyNumberFormat="1" applyFont="1" applyBorder="1" applyAlignment="1">
      <alignment horizontal="right"/>
    </xf>
    <xf numFmtId="172" fontId="65" fillId="0" borderId="13" xfId="0" applyNumberFormat="1" applyFont="1" applyBorder="1" applyAlignment="1">
      <alignment horizontal="left"/>
    </xf>
    <xf numFmtId="189" fontId="62" fillId="0" borderId="2" xfId="0" applyNumberFormat="1" applyFont="1" applyBorder="1" applyAlignment="1">
      <alignment horizontal="left"/>
    </xf>
    <xf numFmtId="172" fontId="57" fillId="0" borderId="12" xfId="0" applyNumberFormat="1" applyFont="1" applyBorder="1" applyAlignment="1">
      <alignment horizontal="left"/>
    </xf>
    <xf numFmtId="179" fontId="62" fillId="0" borderId="2" xfId="0" applyNumberFormat="1" applyFont="1" applyBorder="1" applyAlignment="1">
      <alignment horizontal="right"/>
    </xf>
    <xf numFmtId="187" fontId="62" fillId="0" borderId="17" xfId="0" applyNumberFormat="1" applyFont="1" applyBorder="1" applyAlignment="1">
      <alignment horizontal="left"/>
    </xf>
    <xf numFmtId="187" fontId="62" fillId="0" borderId="16" xfId="0" applyNumberFormat="1" applyFont="1" applyBorder="1" applyAlignment="1">
      <alignment horizontal="left"/>
    </xf>
    <xf numFmtId="168" fontId="62" fillId="0" borderId="17" xfId="0" applyNumberFormat="1" applyFont="1" applyBorder="1" applyAlignment="1">
      <alignment horizontal="right"/>
    </xf>
    <xf numFmtId="168" fontId="62" fillId="0" borderId="16" xfId="0" applyNumberFormat="1" applyFont="1" applyBorder="1" applyAlignment="1">
      <alignment horizontal="right"/>
    </xf>
    <xf numFmtId="187" fontId="62" fillId="0" borderId="0" xfId="0" applyNumberFormat="1" applyFont="1" applyAlignment="1">
      <alignment horizontal="left"/>
    </xf>
    <xf numFmtId="187" fontId="62" fillId="0" borderId="14" xfId="0" applyNumberFormat="1" applyFont="1" applyBorder="1" applyAlignment="1">
      <alignment horizontal="left"/>
    </xf>
    <xf numFmtId="168" fontId="62" fillId="0" borderId="0" xfId="0" applyNumberFormat="1" applyFont="1" applyAlignment="1">
      <alignment horizontal="right"/>
    </xf>
    <xf numFmtId="168" fontId="62" fillId="0" borderId="14" xfId="0" applyNumberFormat="1" applyFont="1" applyBorder="1" applyAlignment="1">
      <alignment horizontal="right"/>
    </xf>
    <xf numFmtId="187" fontId="62" fillId="0" borderId="2" xfId="0" applyNumberFormat="1" applyFont="1" applyBorder="1" applyAlignment="1">
      <alignment horizontal="left"/>
    </xf>
    <xf numFmtId="187" fontId="62" fillId="0" borderId="12" xfId="0" applyNumberFormat="1" applyFont="1" applyBorder="1" applyAlignment="1">
      <alignment horizontal="left"/>
    </xf>
    <xf numFmtId="168" fontId="62" fillId="0" borderId="2" xfId="0" applyNumberFormat="1" applyFont="1" applyBorder="1" applyAlignment="1">
      <alignment horizontal="right"/>
    </xf>
    <xf numFmtId="168" fontId="62" fillId="0" borderId="12" xfId="0" applyNumberFormat="1" applyFont="1" applyBorder="1" applyAlignment="1">
      <alignment horizontal="right"/>
    </xf>
    <xf numFmtId="172" fontId="65" fillId="0" borderId="0" xfId="0" applyNumberFormat="1" applyFont="1" applyAlignment="1">
      <alignment horizontal="left"/>
    </xf>
    <xf numFmtId="164" fontId="64" fillId="0" borderId="2" xfId="0" applyNumberFormat="1" applyFont="1" applyBorder="1" applyAlignment="1">
      <alignment vertical="center"/>
    </xf>
    <xf numFmtId="172" fontId="65" fillId="0" borderId="2" xfId="0" applyNumberFormat="1" applyFont="1" applyBorder="1" applyAlignment="1">
      <alignment horizontal="right"/>
    </xf>
    <xf numFmtId="185" fontId="57" fillId="0" borderId="0" xfId="0" quotePrefix="1" applyNumberFormat="1" applyFont="1" applyAlignment="1">
      <alignment horizontal="right"/>
    </xf>
    <xf numFmtId="168" fontId="62" fillId="0" borderId="25" xfId="0" applyNumberFormat="1" applyFont="1" applyBorder="1"/>
    <xf numFmtId="168" fontId="62" fillId="0" borderId="24" xfId="0" applyNumberFormat="1" applyFont="1" applyBorder="1"/>
    <xf numFmtId="168" fontId="62" fillId="0" borderId="23" xfId="0" applyNumberFormat="1" applyFont="1" applyBorder="1"/>
    <xf numFmtId="37" fontId="62" fillId="0" borderId="17" xfId="0" applyNumberFormat="1" applyFont="1" applyBorder="1" applyAlignment="1">
      <alignment vertical="center"/>
    </xf>
    <xf numFmtId="179" fontId="57" fillId="0" borderId="16" xfId="0" applyNumberFormat="1" applyFont="1" applyBorder="1" applyAlignment="1">
      <alignment horizontal="right"/>
    </xf>
    <xf numFmtId="0" fontId="57" fillId="0" borderId="13" xfId="0" applyFont="1" applyBorder="1" applyAlignment="1">
      <alignment horizontal="left"/>
    </xf>
    <xf numFmtId="37" fontId="62" fillId="0" borderId="2" xfId="0" applyNumberFormat="1" applyFont="1" applyBorder="1" applyAlignment="1">
      <alignment vertical="center"/>
    </xf>
    <xf numFmtId="169" fontId="57" fillId="0" borderId="12" xfId="1" applyNumberFormat="1" applyFont="1" applyFill="1" applyBorder="1"/>
    <xf numFmtId="37" fontId="62" fillId="0" borderId="0" xfId="0" applyNumberFormat="1" applyFont="1" applyAlignment="1">
      <alignment vertical="center"/>
    </xf>
    <xf numFmtId="169" fontId="59" fillId="0" borderId="0" xfId="0" applyNumberFormat="1" applyFont="1" applyAlignment="1">
      <alignment horizontal="right"/>
    </xf>
    <xf numFmtId="190" fontId="62" fillId="0" borderId="0" xfId="0" applyNumberFormat="1" applyFont="1" applyAlignment="1">
      <alignment horizontal="left"/>
    </xf>
    <xf numFmtId="168" fontId="62" fillId="0" borderId="0" xfId="1" applyNumberFormat="1" applyFont="1"/>
    <xf numFmtId="189" fontId="62" fillId="0" borderId="0" xfId="0" applyNumberFormat="1" applyFont="1"/>
    <xf numFmtId="37" fontId="58" fillId="0" borderId="2" xfId="0" applyNumberFormat="1" applyFont="1" applyBorder="1" applyAlignment="1">
      <alignment vertical="center"/>
    </xf>
    <xf numFmtId="168" fontId="70" fillId="0" borderId="0" xfId="0" applyNumberFormat="1" applyFont="1"/>
    <xf numFmtId="188" fontId="62" fillId="0" borderId="13" xfId="0" applyNumberFormat="1" applyFont="1" applyBorder="1"/>
    <xf numFmtId="188" fontId="62" fillId="0" borderId="2" xfId="0" applyNumberFormat="1" applyFont="1" applyBorder="1"/>
    <xf numFmtId="188" fontId="62" fillId="0" borderId="12" xfId="0" applyNumberFormat="1" applyFont="1" applyBorder="1"/>
    <xf numFmtId="37" fontId="80" fillId="0" borderId="17" xfId="0" applyNumberFormat="1" applyFont="1" applyBorder="1" applyAlignment="1">
      <alignment vertical="center"/>
    </xf>
    <xf numFmtId="9" fontId="62" fillId="0" borderId="16" xfId="1" applyFont="1" applyFill="1" applyBorder="1" applyAlignment="1"/>
    <xf numFmtId="49" fontId="62" fillId="0" borderId="13" xfId="0" applyNumberFormat="1" applyFont="1" applyBorder="1" applyAlignment="1">
      <alignment horizontal="left"/>
    </xf>
    <xf numFmtId="165" fontId="62" fillId="0" borderId="12" xfId="0" applyNumberFormat="1" applyFont="1" applyBorder="1" applyAlignment="1">
      <alignment horizontal="right"/>
    </xf>
    <xf numFmtId="168" fontId="61" fillId="0" borderId="0" xfId="0" applyNumberFormat="1" applyFont="1"/>
    <xf numFmtId="170" fontId="79" fillId="0" borderId="0" xfId="1" applyNumberFormat="1" applyFont="1" applyBorder="1"/>
    <xf numFmtId="49" fontId="57" fillId="0" borderId="0" xfId="0" applyNumberFormat="1" applyFont="1" applyAlignment="1">
      <alignment horizontal="left" indent="1"/>
    </xf>
    <xf numFmtId="168" fontId="65" fillId="0" borderId="2" xfId="0" applyNumberFormat="1" applyFont="1" applyBorder="1" applyAlignment="1">
      <alignment horizontal="right"/>
    </xf>
    <xf numFmtId="164" fontId="75" fillId="0" borderId="2" xfId="0" applyNumberFormat="1" applyFont="1" applyBorder="1" applyAlignment="1">
      <alignment vertical="center"/>
    </xf>
    <xf numFmtId="37" fontId="80" fillId="0" borderId="2" xfId="0" applyNumberFormat="1" applyFont="1" applyBorder="1" applyAlignment="1">
      <alignment vertical="center"/>
    </xf>
    <xf numFmtId="174" fontId="73" fillId="0" borderId="2" xfId="0" applyNumberFormat="1" applyFont="1" applyBorder="1" applyAlignment="1">
      <alignment horizontal="right"/>
    </xf>
    <xf numFmtId="168" fontId="73" fillId="0" borderId="2" xfId="0" applyNumberFormat="1" applyFont="1" applyBorder="1" applyAlignment="1">
      <alignment horizontal="right"/>
    </xf>
    <xf numFmtId="169" fontId="57" fillId="0" borderId="0" xfId="1" applyNumberFormat="1" applyFont="1" applyFill="1" applyBorder="1" applyAlignment="1">
      <alignment horizontal="right"/>
    </xf>
    <xf numFmtId="169" fontId="62" fillId="0" borderId="0" xfId="1" applyNumberFormat="1" applyFont="1" applyFill="1" applyBorder="1" applyAlignment="1">
      <alignment horizontal="right"/>
    </xf>
    <xf numFmtId="168" fontId="62" fillId="2" borderId="0" xfId="0" applyNumberFormat="1" applyFont="1" applyFill="1"/>
    <xf numFmtId="168" fontId="62" fillId="2" borderId="2" xfId="0" applyNumberFormat="1" applyFont="1" applyFill="1" applyBorder="1"/>
    <xf numFmtId="174" fontId="65" fillId="0" borderId="0" xfId="0" applyNumberFormat="1" applyFont="1" applyFill="1" applyAlignment="1">
      <alignment horizontal="right"/>
    </xf>
    <xf numFmtId="0" fontId="65" fillId="0" borderId="0" xfId="2" applyFont="1" applyFill="1" applyAlignment="1">
      <alignment horizontal="center"/>
    </xf>
    <xf numFmtId="169" fontId="62" fillId="0" borderId="2" xfId="0" applyNumberFormat="1" applyFont="1" applyBorder="1" applyAlignment="1">
      <alignment horizontal="right"/>
    </xf>
    <xf numFmtId="0" fontId="58" fillId="0" borderId="0" xfId="0" applyFont="1" applyFill="1" applyBorder="1" applyAlignment="1">
      <alignment horizontal="center"/>
    </xf>
    <xf numFmtId="167" fontId="72" fillId="0" borderId="0" xfId="5" applyNumberFormat="1" applyFont="1" applyFill="1" applyBorder="1" applyAlignment="1" applyProtection="1">
      <alignment horizontal="center" vertical="center"/>
      <protection hidden="1"/>
    </xf>
    <xf numFmtId="174" fontId="65" fillId="0" borderId="0" xfId="0" applyNumberFormat="1" applyFont="1" applyFill="1" applyBorder="1" applyAlignment="1">
      <alignment horizontal="right"/>
    </xf>
    <xf numFmtId="0" fontId="65" fillId="0" borderId="0" xfId="2" applyFont="1" applyFill="1" applyBorder="1" applyAlignment="1">
      <alignment horizontal="center"/>
    </xf>
    <xf numFmtId="168" fontId="62" fillId="2" borderId="9" xfId="0" applyNumberFormat="1" applyFont="1" applyFill="1" applyBorder="1" applyAlignment="1">
      <alignment horizontal="right" vertical="center"/>
    </xf>
    <xf numFmtId="0" fontId="57" fillId="0" borderId="2" xfId="0" applyFont="1" applyBorder="1" applyAlignment="1">
      <alignment horizontal="left" indent="1"/>
    </xf>
    <xf numFmtId="0" fontId="82" fillId="0" borderId="0" xfId="0" applyFont="1"/>
    <xf numFmtId="180" fontId="83" fillId="0" borderId="0" xfId="7" applyNumberFormat="1" applyFont="1" applyProtection="1">
      <protection locked="0"/>
    </xf>
    <xf numFmtId="180" fontId="83" fillId="0" borderId="0" xfId="7" applyNumberFormat="1" applyFont="1" applyAlignment="1" applyProtection="1">
      <alignment horizontal="center"/>
      <protection locked="0"/>
    </xf>
    <xf numFmtId="180" fontId="83" fillId="0" borderId="0" xfId="7" applyNumberFormat="1" applyFont="1" applyAlignment="1">
      <alignment horizontal="right"/>
    </xf>
    <xf numFmtId="0" fontId="58" fillId="0" borderId="11" xfId="0" applyFont="1" applyBorder="1"/>
    <xf numFmtId="0" fontId="58" fillId="0" borderId="0" xfId="0" applyFont="1" applyAlignment="1">
      <alignment vertical="center"/>
    </xf>
    <xf numFmtId="0" fontId="62" fillId="0" borderId="0" xfId="0" applyFont="1" applyAlignment="1">
      <alignment vertical="center"/>
    </xf>
    <xf numFmtId="180" fontId="75" fillId="0" borderId="0" xfId="7" applyNumberFormat="1" applyFont="1" applyFill="1" applyBorder="1" applyAlignment="1" applyProtection="1">
      <alignment vertical="center"/>
      <protection locked="0"/>
    </xf>
    <xf numFmtId="174" fontId="67" fillId="0" borderId="0" xfId="0" applyNumberFormat="1" applyFont="1" applyAlignment="1">
      <alignment horizontal="right"/>
    </xf>
    <xf numFmtId="0" fontId="83" fillId="0" borderId="0" xfId="0" applyFont="1" applyAlignment="1">
      <alignment horizontal="right" vertical="center"/>
    </xf>
    <xf numFmtId="171" fontId="74" fillId="0" borderId="0" xfId="0" applyNumberFormat="1" applyFont="1" applyAlignment="1">
      <alignment horizontal="right" vertical="center"/>
    </xf>
    <xf numFmtId="0" fontId="59" fillId="3" borderId="0" xfId="0" applyFont="1" applyFill="1" applyAlignment="1">
      <alignment horizontal="center" vertical="center"/>
    </xf>
    <xf numFmtId="169" fontId="73" fillId="2" borderId="7" xfId="1" applyNumberFormat="1" applyFont="1" applyFill="1" applyBorder="1" applyAlignment="1">
      <alignment vertical="center"/>
    </xf>
    <xf numFmtId="169" fontId="73" fillId="2" borderId="6" xfId="1" applyNumberFormat="1" applyFont="1" applyFill="1" applyBorder="1" applyAlignment="1">
      <alignment vertical="center"/>
    </xf>
    <xf numFmtId="169" fontId="73" fillId="2" borderId="5" xfId="1" applyNumberFormat="1" applyFont="1" applyFill="1" applyBorder="1" applyAlignment="1">
      <alignment vertical="center"/>
    </xf>
    <xf numFmtId="170" fontId="58" fillId="0" borderId="0" xfId="0" applyNumberFormat="1" applyFont="1" applyAlignment="1">
      <alignment vertical="center"/>
    </xf>
    <xf numFmtId="170" fontId="83" fillId="0" borderId="0" xfId="0" applyNumberFormat="1" applyFont="1" applyAlignment="1">
      <alignment horizontal="right" vertical="center"/>
    </xf>
    <xf numFmtId="170" fontId="74" fillId="0" borderId="0" xfId="0" applyNumberFormat="1" applyFont="1" applyAlignment="1">
      <alignment horizontal="right" vertical="center"/>
    </xf>
    <xf numFmtId="170" fontId="58" fillId="0" borderId="0" xfId="0" applyNumberFormat="1" applyFont="1"/>
    <xf numFmtId="0" fontId="59" fillId="0" borderId="0" xfId="0" applyFont="1" applyAlignment="1">
      <alignment horizontal="left" vertical="center" indent="2"/>
    </xf>
    <xf numFmtId="0" fontId="57" fillId="0" borderId="0" xfId="0" applyFont="1" applyAlignment="1">
      <alignment vertical="center"/>
    </xf>
    <xf numFmtId="169" fontId="59" fillId="0" borderId="18" xfId="0" applyNumberFormat="1" applyFont="1" applyBorder="1" applyAlignment="1">
      <alignment vertical="center"/>
    </xf>
    <xf numFmtId="169" fontId="59" fillId="0" borderId="17" xfId="0" applyNumberFormat="1" applyFont="1" applyBorder="1" applyAlignment="1">
      <alignment vertical="center"/>
    </xf>
    <xf numFmtId="169" fontId="59" fillId="0" borderId="16" xfId="0" applyNumberFormat="1" applyFont="1" applyBorder="1" applyAlignment="1">
      <alignment vertical="center"/>
    </xf>
    <xf numFmtId="169" fontId="59" fillId="0" borderId="15" xfId="0" applyNumberFormat="1" applyFont="1" applyBorder="1" applyAlignment="1">
      <alignment vertical="center"/>
    </xf>
    <xf numFmtId="169" fontId="59" fillId="0" borderId="0" xfId="0" applyNumberFormat="1" applyFont="1" applyAlignment="1">
      <alignment vertical="center"/>
    </xf>
    <xf numFmtId="169" fontId="59" fillId="0" borderId="14" xfId="0" applyNumberFormat="1" applyFont="1" applyBorder="1" applyAlignment="1">
      <alignment vertical="center"/>
    </xf>
    <xf numFmtId="169" fontId="59" fillId="0" borderId="13" xfId="0" applyNumberFormat="1" applyFont="1" applyBorder="1" applyAlignment="1">
      <alignment vertical="center"/>
    </xf>
    <xf numFmtId="169" fontId="59" fillId="0" borderId="2" xfId="0" applyNumberFormat="1" applyFont="1" applyBorder="1" applyAlignment="1">
      <alignment vertical="center"/>
    </xf>
    <xf numFmtId="169" fontId="59" fillId="0" borderId="12" xfId="0" applyNumberFormat="1" applyFont="1" applyBorder="1" applyAlignment="1">
      <alignment vertical="center"/>
    </xf>
    <xf numFmtId="0" fontId="57" fillId="0" borderId="0" xfId="0" applyFont="1" applyAlignment="1">
      <alignment horizontal="right" vertical="center"/>
    </xf>
    <xf numFmtId="170" fontId="64" fillId="0" borderId="0" xfId="0" applyNumberFormat="1" applyFont="1" applyAlignment="1">
      <alignment horizontal="right" vertical="center"/>
    </xf>
    <xf numFmtId="169" fontId="58" fillId="0" borderId="0" xfId="0" applyNumberFormat="1" applyFont="1" applyAlignment="1">
      <alignment vertical="center"/>
    </xf>
    <xf numFmtId="169" fontId="64" fillId="0" borderId="0" xfId="0" applyNumberFormat="1" applyFont="1" applyAlignment="1">
      <alignment horizontal="right" vertical="center"/>
    </xf>
    <xf numFmtId="169" fontId="74" fillId="0" borderId="0" xfId="0" applyNumberFormat="1" applyFont="1" applyAlignment="1">
      <alignment horizontal="right" vertical="center"/>
    </xf>
    <xf numFmtId="169" fontId="58" fillId="0" borderId="0" xfId="0" applyNumberFormat="1" applyFont="1"/>
    <xf numFmtId="0" fontId="58" fillId="0" borderId="0" xfId="0" applyFont="1" applyAlignment="1">
      <alignment horizontal="left" vertical="center" indent="2"/>
    </xf>
    <xf numFmtId="174" fontId="63" fillId="0" borderId="0" xfId="0" applyNumberFormat="1" applyFont="1" applyAlignment="1">
      <alignment horizontal="right" vertical="center"/>
    </xf>
    <xf numFmtId="168" fontId="73" fillId="2" borderId="7" xfId="1" applyNumberFormat="1" applyFont="1" applyFill="1" applyBorder="1" applyAlignment="1">
      <alignment horizontal="right" vertical="center"/>
    </xf>
    <xf numFmtId="168" fontId="73" fillId="2" borderId="6" xfId="1" applyNumberFormat="1" applyFont="1" applyFill="1" applyBorder="1" applyAlignment="1">
      <alignment horizontal="right" vertical="center"/>
    </xf>
    <xf numFmtId="168" fontId="73" fillId="2" borderId="5" xfId="1" applyNumberFormat="1" applyFont="1" applyFill="1" applyBorder="1" applyAlignment="1">
      <alignment horizontal="right" vertical="center"/>
    </xf>
    <xf numFmtId="168" fontId="58" fillId="0" borderId="0" xfId="0" applyNumberFormat="1" applyFont="1" applyAlignment="1">
      <alignment horizontal="right" vertical="center"/>
    </xf>
    <xf numFmtId="168" fontId="64" fillId="0" borderId="0" xfId="0" applyNumberFormat="1" applyFont="1" applyAlignment="1">
      <alignment horizontal="right" vertical="center"/>
    </xf>
    <xf numFmtId="168" fontId="74" fillId="0" borderId="0" xfId="0" applyNumberFormat="1" applyFont="1" applyAlignment="1">
      <alignment horizontal="right" vertical="center"/>
    </xf>
    <xf numFmtId="168" fontId="58" fillId="0" borderId="0" xfId="0" applyNumberFormat="1" applyFont="1" applyAlignment="1">
      <alignment horizontal="right"/>
    </xf>
    <xf numFmtId="168" fontId="59" fillId="0" borderId="18" xfId="0" applyNumberFormat="1" applyFont="1" applyBorder="1" applyAlignment="1">
      <alignment horizontal="right" vertical="center"/>
    </xf>
    <xf numFmtId="168" fontId="59" fillId="0" borderId="17" xfId="0" applyNumberFormat="1" applyFont="1" applyBorder="1" applyAlignment="1">
      <alignment horizontal="right" vertical="center"/>
    </xf>
    <xf numFmtId="168" fontId="59" fillId="0" borderId="16" xfId="0" applyNumberFormat="1" applyFont="1" applyBorder="1" applyAlignment="1">
      <alignment horizontal="right" vertical="center"/>
    </xf>
    <xf numFmtId="168" fontId="59" fillId="0" borderId="15" xfId="0" applyNumberFormat="1" applyFont="1" applyBorder="1" applyAlignment="1">
      <alignment horizontal="right" vertical="center"/>
    </xf>
    <xf numFmtId="168" fontId="59" fillId="0" borderId="0" xfId="0" applyNumberFormat="1" applyFont="1" applyAlignment="1">
      <alignment horizontal="right" vertical="center"/>
    </xf>
    <xf numFmtId="168" fontId="59" fillId="0" borderId="14" xfId="0" applyNumberFormat="1" applyFont="1" applyBorder="1" applyAlignment="1">
      <alignment horizontal="right" vertical="center"/>
    </xf>
    <xf numFmtId="168" fontId="59" fillId="0" borderId="13" xfId="0" applyNumberFormat="1" applyFont="1" applyBorder="1" applyAlignment="1">
      <alignment horizontal="right" vertical="center"/>
    </xf>
    <xf numFmtId="168" fontId="59" fillId="0" borderId="2" xfId="0" applyNumberFormat="1" applyFont="1" applyBorder="1" applyAlignment="1">
      <alignment horizontal="right" vertical="center"/>
    </xf>
    <xf numFmtId="168" fontId="59" fillId="0" borderId="12" xfId="0" applyNumberFormat="1" applyFont="1" applyBorder="1" applyAlignment="1">
      <alignment horizontal="right" vertical="center"/>
    </xf>
    <xf numFmtId="169" fontId="59" fillId="0" borderId="0" xfId="0" applyNumberFormat="1" applyFont="1" applyAlignment="1">
      <alignment horizontal="right" vertical="center"/>
    </xf>
    <xf numFmtId="0" fontId="58" fillId="0" borderId="2" xfId="0" applyFont="1" applyBorder="1" applyAlignment="1">
      <alignment vertical="center"/>
    </xf>
    <xf numFmtId="170" fontId="59" fillId="0" borderId="2" xfId="0" applyNumberFormat="1" applyFont="1" applyBorder="1" applyAlignment="1">
      <alignment vertical="center"/>
    </xf>
    <xf numFmtId="170" fontId="59" fillId="0" borderId="0" xfId="0" applyNumberFormat="1" applyFont="1" applyAlignment="1">
      <alignment vertical="center"/>
    </xf>
    <xf numFmtId="0" fontId="62" fillId="0" borderId="0" xfId="0" applyFont="1" applyAlignment="1">
      <alignment horizontal="left" indent="2"/>
    </xf>
    <xf numFmtId="0" fontId="83" fillId="0" borderId="0" xfId="0" quotePrefix="1" applyFont="1" applyAlignment="1">
      <alignment horizontal="center" vertical="center"/>
    </xf>
    <xf numFmtId="169" fontId="59" fillId="0" borderId="18" xfId="0" applyNumberFormat="1" applyFont="1" applyBorder="1" applyAlignment="1">
      <alignment horizontal="right" vertical="center"/>
    </xf>
    <xf numFmtId="169" fontId="59" fillId="0" borderId="17" xfId="0" applyNumberFormat="1" applyFont="1" applyBorder="1" applyAlignment="1">
      <alignment horizontal="right" vertical="center"/>
    </xf>
    <xf numFmtId="169" fontId="59" fillId="0" borderId="16" xfId="0" applyNumberFormat="1" applyFont="1" applyBorder="1" applyAlignment="1">
      <alignment horizontal="right" vertical="center"/>
    </xf>
    <xf numFmtId="0" fontId="84" fillId="0" borderId="0" xfId="0" applyFont="1" applyAlignment="1">
      <alignment horizontal="left"/>
    </xf>
    <xf numFmtId="0" fontId="84" fillId="0" borderId="11" xfId="0" applyFont="1" applyBorder="1"/>
    <xf numFmtId="0" fontId="58" fillId="0" borderId="4" xfId="0" applyFont="1" applyBorder="1" applyAlignment="1">
      <alignment horizontal="left" vertical="center" indent="1"/>
    </xf>
    <xf numFmtId="0" fontId="58" fillId="0" borderId="4" xfId="0" applyFont="1" applyBorder="1" applyAlignment="1">
      <alignment vertical="center"/>
    </xf>
    <xf numFmtId="0" fontId="83" fillId="0" borderId="4" xfId="0" quotePrefix="1" applyFont="1" applyBorder="1" applyAlignment="1">
      <alignment horizontal="center" vertical="center"/>
    </xf>
    <xf numFmtId="181" fontId="59" fillId="0" borderId="4" xfId="0" applyNumberFormat="1" applyFont="1" applyBorder="1" applyAlignment="1">
      <alignment horizontal="right" vertical="center"/>
    </xf>
    <xf numFmtId="0" fontId="58" fillId="0" borderId="0" xfId="0" applyFont="1" applyAlignment="1">
      <alignment horizontal="left" indent="1"/>
    </xf>
    <xf numFmtId="179" fontId="59" fillId="0" borderId="0" xfId="1" applyNumberFormat="1" applyFont="1" applyFill="1" applyBorder="1" applyAlignment="1">
      <alignment vertical="center"/>
    </xf>
    <xf numFmtId="0" fontId="58" fillId="0" borderId="0" xfId="0" applyFont="1" applyAlignment="1">
      <alignment horizontal="left" vertical="center" indent="1"/>
    </xf>
    <xf numFmtId="180" fontId="83" fillId="0" borderId="0" xfId="7" applyNumberFormat="1" applyFont="1" applyAlignment="1" applyProtection="1">
      <alignment vertical="center"/>
      <protection locked="0"/>
    </xf>
    <xf numFmtId="168" fontId="59" fillId="0" borderId="0" xfId="0" applyNumberFormat="1" applyFont="1" applyAlignment="1">
      <alignment vertical="center"/>
    </xf>
    <xf numFmtId="180" fontId="75" fillId="0" borderId="0" xfId="7" applyNumberFormat="1" applyFont="1" applyFill="1" applyBorder="1" applyAlignment="1">
      <alignment horizontal="right" vertical="center"/>
    </xf>
    <xf numFmtId="169" fontId="59" fillId="0" borderId="0" xfId="1" applyNumberFormat="1" applyFont="1" applyFill="1" applyBorder="1" applyAlignment="1">
      <alignment horizontal="right" vertical="center"/>
    </xf>
    <xf numFmtId="180" fontId="83" fillId="0" borderId="0" xfId="7" applyNumberFormat="1" applyFont="1" applyBorder="1" applyAlignment="1">
      <alignment horizontal="right"/>
    </xf>
    <xf numFmtId="168" fontId="59" fillId="0" borderId="0" xfId="6" applyNumberFormat="1" applyFont="1" applyFill="1" applyBorder="1" applyAlignment="1">
      <alignment vertical="center"/>
    </xf>
    <xf numFmtId="168" fontId="59" fillId="0" borderId="0" xfId="6" applyNumberFormat="1" applyFont="1"/>
    <xf numFmtId="0" fontId="83" fillId="0" borderId="0" xfId="0" applyFont="1" applyAlignment="1">
      <alignment horizontal="center" vertical="center"/>
    </xf>
    <xf numFmtId="169" fontId="59" fillId="0" borderId="4" xfId="1" applyNumberFormat="1" applyFont="1" applyFill="1" applyBorder="1" applyAlignment="1">
      <alignment vertical="center"/>
    </xf>
    <xf numFmtId="179" fontId="59" fillId="0" borderId="4" xfId="1" applyNumberFormat="1" applyFont="1" applyFill="1" applyBorder="1" applyAlignment="1">
      <alignment vertical="center"/>
    </xf>
    <xf numFmtId="169" fontId="59" fillId="0" borderId="0" xfId="1" applyNumberFormat="1" applyFont="1" applyFill="1" applyBorder="1" applyAlignment="1">
      <alignment vertical="center"/>
    </xf>
    <xf numFmtId="178" fontId="59" fillId="0" borderId="0" xfId="6" applyNumberFormat="1" applyFont="1" applyFill="1" applyBorder="1" applyAlignment="1">
      <alignment vertical="center"/>
    </xf>
    <xf numFmtId="0" fontId="57" fillId="0" borderId="1" xfId="0" applyFont="1" applyBorder="1" applyAlignment="1">
      <alignment horizontal="left"/>
    </xf>
    <xf numFmtId="173" fontId="65" fillId="0" borderId="0" xfId="0" applyNumberFormat="1" applyFont="1" applyAlignment="1">
      <alignment horizontal="right" vertical="center"/>
    </xf>
    <xf numFmtId="172" fontId="65" fillId="0" borderId="4" xfId="0" applyNumberFormat="1" applyFont="1" applyBorder="1" applyAlignment="1">
      <alignment horizontal="right" vertical="center"/>
    </xf>
    <xf numFmtId="0" fontId="58" fillId="0" borderId="3" xfId="0" applyFont="1" applyBorder="1" applyAlignment="1">
      <alignment vertical="center"/>
    </xf>
    <xf numFmtId="0" fontId="83" fillId="0" borderId="3" xfId="0" applyFont="1" applyBorder="1" applyAlignment="1">
      <alignment horizontal="right" vertical="center"/>
    </xf>
    <xf numFmtId="171" fontId="74" fillId="0" borderId="3" xfId="0" applyNumberFormat="1" applyFont="1" applyBorder="1" applyAlignment="1">
      <alignment horizontal="right" vertical="center"/>
    </xf>
    <xf numFmtId="0" fontId="58" fillId="0" borderId="3" xfId="0" applyFont="1" applyBorder="1"/>
    <xf numFmtId="0" fontId="73" fillId="0" borderId="0" xfId="0" applyFont="1" applyAlignment="1">
      <alignment horizontal="left" vertical="center" indent="1"/>
    </xf>
    <xf numFmtId="0" fontId="62" fillId="3" borderId="0" xfId="0" applyFont="1" applyFill="1" applyAlignment="1">
      <alignment horizontal="center" vertical="center"/>
    </xf>
    <xf numFmtId="0" fontId="64" fillId="0" borderId="0" xfId="0" applyFont="1" applyAlignment="1">
      <alignment horizontal="left" indent="2"/>
    </xf>
    <xf numFmtId="169" fontId="64" fillId="2" borderId="0" xfId="1" applyNumberFormat="1" applyFont="1" applyFill="1" applyBorder="1" applyAlignment="1">
      <alignment horizontal="right"/>
    </xf>
    <xf numFmtId="170" fontId="64" fillId="0" borderId="0" xfId="1" applyNumberFormat="1" applyFont="1"/>
    <xf numFmtId="169" fontId="64" fillId="2" borderId="0" xfId="1" applyNumberFormat="1" applyFont="1" applyFill="1" applyAlignment="1">
      <alignment horizontal="right"/>
    </xf>
    <xf numFmtId="0" fontId="65" fillId="0" borderId="1" xfId="0" applyFont="1" applyBorder="1" applyAlignment="1">
      <alignment horizontal="left"/>
    </xf>
    <xf numFmtId="0" fontId="57" fillId="0" borderId="1" xfId="0" applyFont="1" applyBorder="1"/>
    <xf numFmtId="0" fontId="82" fillId="6" borderId="39" xfId="0" applyFont="1" applyFill="1" applyBorder="1"/>
    <xf numFmtId="0" fontId="82" fillId="6" borderId="40" xfId="0" applyFont="1" applyFill="1" applyBorder="1"/>
    <xf numFmtId="0" fontId="82" fillId="6" borderId="41" xfId="0" applyFont="1" applyFill="1" applyBorder="1"/>
    <xf numFmtId="0" fontId="82" fillId="0" borderId="42" xfId="0" applyFont="1" applyBorder="1"/>
    <xf numFmtId="0" fontId="82" fillId="0" borderId="43" xfId="0" applyFont="1" applyBorder="1"/>
    <xf numFmtId="0" fontId="85" fillId="0" borderId="42" xfId="0" applyFont="1" applyBorder="1"/>
    <xf numFmtId="0" fontId="86" fillId="0" borderId="0" xfId="4" applyFont="1" applyBorder="1"/>
    <xf numFmtId="0" fontId="82" fillId="6" borderId="42" xfId="0" applyFont="1" applyFill="1" applyBorder="1"/>
    <xf numFmtId="0" fontId="82" fillId="6" borderId="0" xfId="0" applyFont="1" applyFill="1"/>
    <xf numFmtId="0" fontId="82" fillId="6" borderId="43" xfId="0" applyFont="1" applyFill="1" applyBorder="1"/>
    <xf numFmtId="0" fontId="87" fillId="6" borderId="40" xfId="0" applyFont="1" applyFill="1" applyBorder="1"/>
  </cellXfs>
  <cellStyles count="8">
    <cellStyle name="Comma 2" xfId="6" xr:uid="{28ABC926-792E-4981-8730-AD56E646245C}"/>
    <cellStyle name="Comma 2 2" xfId="7" xr:uid="{358B6400-B8C8-4D2A-86CF-ACABF421015F}"/>
    <cellStyle name="Hyperlink" xfId="4" builtinId="8"/>
    <cellStyle name="Hyperlink 2 2" xfId="3" xr:uid="{08679821-D559-4295-B822-050B2F510E2C}"/>
    <cellStyle name="Normal" xfId="0" builtinId="0"/>
    <cellStyle name="Normal 2" xfId="5" xr:uid="{78B19147-358C-4953-9681-71B6E1468570}"/>
    <cellStyle name="Normal 2 2 2" xfId="2" xr:uid="{2D9FCB2C-27E6-48D4-B157-0A57F13D0DE1}"/>
    <cellStyle name="Percent" xfId="1" builtinId="5"/>
  </cellStyles>
  <dxfs count="31">
    <dxf>
      <font>
        <b/>
        <i val="0"/>
        <color theme="0"/>
      </font>
      <fill>
        <patternFill patternType="solid">
          <bgColor rgb="FF947131"/>
        </patternFill>
      </fill>
    </dxf>
    <dxf>
      <font>
        <b/>
        <i val="0"/>
        <color theme="0"/>
      </font>
      <fill>
        <patternFill>
          <bgColor rgb="FF947131"/>
        </patternFill>
      </fill>
    </dxf>
    <dxf>
      <font>
        <b/>
        <i val="0"/>
        <color theme="0"/>
      </font>
      <fill>
        <patternFill patternType="solid">
          <bgColor rgb="FF947131"/>
        </patternFill>
      </fill>
    </dxf>
    <dxf>
      <font>
        <b/>
        <i val="0"/>
        <color theme="0"/>
      </font>
      <fill>
        <patternFill patternType="solid">
          <bgColor rgb="FF947131"/>
        </patternFill>
      </fill>
    </dxf>
    <dxf>
      <font>
        <b/>
        <i val="0"/>
        <color theme="0"/>
      </font>
      <fill>
        <patternFill patternType="solid">
          <bgColor rgb="FF94713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b/>
        <i val="0"/>
        <color theme="0"/>
      </font>
      <fill>
        <patternFill>
          <fgColor auto="1"/>
          <bgColor rgb="FFFA621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b/>
        <i val="0"/>
        <color theme="0"/>
      </font>
      <fill>
        <patternFill>
          <fgColor auto="1"/>
          <bgColor rgb="FFFA621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 patternType="none"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02917734783567"/>
          <c:y val="0.11494971400294005"/>
          <c:w val="0.76762868213496627"/>
          <c:h val="0.777849418545417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Outputs!$C$10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rgbClr val="E7F2FF"/>
            </a:solidFill>
            <a:ln w="9525" cap="flat" cmpd="sng" algn="ctr">
              <a:solidFill>
                <a:srgbClr val="E9F6F7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Outputs!$H$10:$O$10</c:f>
              <c:numCache>
                <c:formatCode>_(#,##0_);\(#,##0\);_("–"_);_(@_)</c:formatCode>
                <c:ptCount val="8"/>
                <c:pt idx="0">
                  <c:v>50589</c:v>
                </c:pt>
                <c:pt idx="1">
                  <c:v>51647.864999999998</c:v>
                </c:pt>
                <c:pt idx="2">
                  <c:v>53760.85</c:v>
                </c:pt>
                <c:pt idx="3">
                  <c:v>56481.149010000008</c:v>
                </c:pt>
                <c:pt idx="4">
                  <c:v>57616.420105101002</c:v>
                </c:pt>
                <c:pt idx="5">
                  <c:v>58774.510149213551</c:v>
                </c:pt>
                <c:pt idx="6">
                  <c:v>59659.066526959199</c:v>
                </c:pt>
                <c:pt idx="7">
                  <c:v>60257.148668891954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5E-45C7-88AD-62C10FFECC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35279256"/>
        <c:axId val="635280568"/>
      </c:barChart>
      <c:lineChart>
        <c:grouping val="standard"/>
        <c:varyColors val="0"/>
        <c:ser>
          <c:idx val="1"/>
          <c:order val="1"/>
          <c:tx>
            <c:strRef>
              <c:f>Outputs!$C$13</c:f>
              <c:strCache>
                <c:ptCount val="1"/>
                <c:pt idx="0">
                  <c:v>EBITDA Margin</c:v>
                </c:pt>
              </c:strCache>
            </c:strRef>
          </c:tx>
          <c:spPr>
            <a:ln w="28575" cap="rnd" cmpd="sng" algn="ctr">
              <a:solidFill>
                <a:srgbClr val="3271D2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marker>
            <c:symbol val="none"/>
          </c:marker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Outputs!$H$13:$O$13</c:f>
              <c:numCache>
                <c:formatCode>_(#,##0.0%_);\(#,##0.0%\);_("–"_)_%;_(@_)_%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5E-45C7-88AD-62C10FFECC58}"/>
            </c:ext>
          </c:extLst>
        </c:ser>
        <c:ser>
          <c:idx val="2"/>
          <c:order val="2"/>
          <c:tx>
            <c:strRef>
              <c:f>Outputs!$C$16</c:f>
              <c:strCache>
                <c:ptCount val="1"/>
                <c:pt idx="0">
                  <c:v>Net Income Margin</c:v>
                </c:pt>
              </c:strCache>
            </c:strRef>
          </c:tx>
          <c:spPr>
            <a:ln w="28575" cap="rnd" cmpd="sng" algn="ctr">
              <a:solidFill>
                <a:srgbClr val="947131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marker>
            <c:symbol val="none"/>
          </c:marker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Outputs!$H$16:$O$16</c:f>
              <c:numCache>
                <c:formatCode>_(#,##0.0%_);\(#,##0.0%\);_("–"_)_%;_(@_)_%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5E-45C7-88AD-62C10FFECC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3547456"/>
        <c:axId val="405025360"/>
      </c:lineChart>
      <c:catAx>
        <c:axId val="635279256"/>
        <c:scaling>
          <c:orientation val="minMax"/>
        </c:scaling>
        <c:delete val="0"/>
        <c:axPos val="b"/>
        <c:numFmt formatCode="0000\A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5280568"/>
        <c:crosses val="autoZero"/>
        <c:auto val="1"/>
        <c:lblAlgn val="ctr"/>
        <c:lblOffset val="100"/>
        <c:noMultiLvlLbl val="0"/>
      </c:catAx>
      <c:valAx>
        <c:axId val="635280568"/>
        <c:scaling>
          <c:orientation val="minMax"/>
        </c:scaling>
        <c:delete val="0"/>
        <c:axPos val="l"/>
        <c:numFmt formatCode="_(#,##0_);\(#,##0\);_(&quot;–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5279256"/>
        <c:crosses val="autoZero"/>
        <c:crossBetween val="between"/>
      </c:valAx>
      <c:valAx>
        <c:axId val="405025360"/>
        <c:scaling>
          <c:orientation val="minMax"/>
        </c:scaling>
        <c:delete val="0"/>
        <c:axPos val="r"/>
        <c:numFmt formatCode="_(#,##0.0%_);\(#,##0.0%\);_(&quot;–&quot;_)_%;_(@_)_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553547456"/>
        <c:crosses val="max"/>
        <c:crossBetween val="between"/>
      </c:valAx>
      <c:catAx>
        <c:axId val="553547456"/>
        <c:scaling>
          <c:orientation val="minMax"/>
        </c:scaling>
        <c:delete val="1"/>
        <c:axPos val="b"/>
        <c:numFmt formatCode="0000\A" sourceLinked="1"/>
        <c:majorTickMark val="out"/>
        <c:minorTickMark val="none"/>
        <c:tickLblPos val="nextTo"/>
        <c:crossAx val="4050253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2333488497118543"/>
          <c:y val="5.0831792975970423E-2"/>
          <c:w val="0.76400777572706335"/>
          <c:h val="7.79451466404126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02917734783567"/>
          <c:y val="0.1020375223772628"/>
          <c:w val="0.8158215678085714"/>
          <c:h val="0.7971414548023136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Outputs!$C$22</c:f>
              <c:strCache>
                <c:ptCount val="1"/>
                <c:pt idx="0">
                  <c:v>Investing</c:v>
                </c:pt>
              </c:strCache>
            </c:strRef>
          </c:tx>
          <c:spPr>
            <a:solidFill>
              <a:srgbClr val="3271D2"/>
            </a:solidFill>
            <a:ln w="9525" cap="flat" cmpd="sng" algn="ctr">
              <a:solidFill>
                <a:srgbClr val="3271D2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Outputs!$H$22:$O$22</c:f>
              <c:numCache>
                <c:formatCode>_(#,##0_);\(#,##0\);_("–"_);_(@_)</c:formatCode>
                <c:ptCount val="8"/>
                <c:pt idx="0">
                  <c:v>-9014.9999999999927</c:v>
                </c:pt>
                <c:pt idx="1">
                  <c:v>-11733.000000000005</c:v>
                </c:pt>
                <c:pt idx="2">
                  <c:v>-11130</c:v>
                </c:pt>
                <c:pt idx="3">
                  <c:v>-25475</c:v>
                </c:pt>
                <c:pt idx="4">
                  <c:v>-7050</c:v>
                </c:pt>
                <c:pt idx="5">
                  <c:v>-7275</c:v>
                </c:pt>
                <c:pt idx="6">
                  <c:v>-7200</c:v>
                </c:pt>
                <c:pt idx="7">
                  <c:v>-7687.5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86-4F53-AFAA-A7D7CCD97A7A}"/>
            </c:ext>
          </c:extLst>
        </c:ser>
        <c:ser>
          <c:idx val="3"/>
          <c:order val="1"/>
          <c:tx>
            <c:strRef>
              <c:f>Outputs!$C$23</c:f>
              <c:strCache>
                <c:ptCount val="1"/>
                <c:pt idx="0">
                  <c:v>Financing</c:v>
                </c:pt>
              </c:strCache>
            </c:strRef>
          </c:tx>
          <c:spPr>
            <a:solidFill>
              <a:srgbClr val="1B3E70"/>
            </a:solidFill>
            <a:ln w="9525" cap="flat" cmpd="sng" algn="ctr">
              <a:solidFill>
                <a:srgbClr val="1B3E70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Outputs!$H$23:$O$23</c:f>
              <c:numCache>
                <c:formatCode>_(#,##0_);\(#,##0\);_("–"_);_(@_)</c:formatCode>
                <c:ptCount val="8"/>
                <c:pt idx="0">
                  <c:v>-3465</c:v>
                </c:pt>
                <c:pt idx="1">
                  <c:v>-7761</c:v>
                </c:pt>
                <c:pt idx="2">
                  <c:v>-7216</c:v>
                </c:pt>
                <c:pt idx="3">
                  <c:v>477.66903897964994</c:v>
                </c:pt>
                <c:pt idx="4">
                  <c:v>-9630.3963424958529</c:v>
                </c:pt>
                <c:pt idx="5">
                  <c:v>-9581.4604661888225</c:v>
                </c:pt>
                <c:pt idx="6">
                  <c:v>-9161.3832251677941</c:v>
                </c:pt>
                <c:pt idx="7">
                  <c:v>-6876.7518041748526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86-4F53-AFAA-A7D7CCD97A7A}"/>
            </c:ext>
          </c:extLst>
        </c:ser>
        <c:ser>
          <c:idx val="0"/>
          <c:order val="2"/>
          <c:tx>
            <c:strRef>
              <c:f>Outputs!$C$21</c:f>
              <c:strCache>
                <c:ptCount val="1"/>
                <c:pt idx="0">
                  <c:v>Operating</c:v>
                </c:pt>
              </c:strCache>
            </c:strRef>
          </c:tx>
          <c:spPr>
            <a:solidFill>
              <a:srgbClr val="E7F2FF"/>
            </a:solidFill>
            <a:ln w="9525" cap="flat" cmpd="sng" algn="ctr">
              <a:solidFill>
                <a:srgbClr val="E7F2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Outputs!$H$21:$O$21</c:f>
              <c:numCache>
                <c:formatCode>_(#,##0_);\(#,##0\);_("–"_);_(@_)</c:formatCode>
                <c:ptCount val="8"/>
                <c:pt idx="0">
                  <c:v>15655.7</c:v>
                </c:pt>
                <c:pt idx="1">
                  <c:v>16011.850599999998</c:v>
                </c:pt>
                <c:pt idx="2">
                  <c:v>17391.448499999999</c:v>
                </c:pt>
                <c:pt idx="3">
                  <c:v>16587.331861020353</c:v>
                </c:pt>
                <c:pt idx="4">
                  <c:v>16680.396342495853</c:v>
                </c:pt>
                <c:pt idx="5">
                  <c:v>16856.460466188822</c:v>
                </c:pt>
                <c:pt idx="6">
                  <c:v>17009.384942480039</c:v>
                </c:pt>
                <c:pt idx="7">
                  <c:v>16934.493183661154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86-4F53-AFAA-A7D7CCD97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635279256"/>
        <c:axId val="635280568"/>
      </c:barChart>
      <c:lineChart>
        <c:grouping val="standard"/>
        <c:varyColors val="0"/>
        <c:ser>
          <c:idx val="2"/>
          <c:order val="3"/>
          <c:tx>
            <c:strRef>
              <c:f>Outputs!$C$24</c:f>
              <c:strCache>
                <c:ptCount val="1"/>
                <c:pt idx="0">
                  <c:v>Change in Cash</c:v>
                </c:pt>
              </c:strCache>
            </c:strRef>
          </c:tx>
          <c:spPr>
            <a:ln w="28575" cap="rnd" cmpd="sng" algn="ctr">
              <a:solidFill>
                <a:srgbClr val="947131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marker>
            <c:symbol val="none"/>
          </c:marker>
          <c:cat>
            <c:numRef>
              <c:f>Outputs!$H$4:$O$4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Outputs!$H$24:$O$24</c:f>
              <c:numCache>
                <c:formatCode>_(#,##0_);\(#,##0\);_("–"_);_(@_)</c:formatCode>
                <c:ptCount val="8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986-4F53-AFAA-A7D7CCD97A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5279256"/>
        <c:axId val="635280568"/>
      </c:lineChart>
      <c:catAx>
        <c:axId val="635279256"/>
        <c:scaling>
          <c:orientation val="minMax"/>
        </c:scaling>
        <c:delete val="0"/>
        <c:axPos val="b"/>
        <c:numFmt formatCode="0000\A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5280568"/>
        <c:crosses val="autoZero"/>
        <c:auto val="1"/>
        <c:lblAlgn val="ctr"/>
        <c:lblOffset val="100"/>
        <c:noMultiLvlLbl val="0"/>
      </c:catAx>
      <c:valAx>
        <c:axId val="635280568"/>
        <c:scaling>
          <c:orientation val="minMax"/>
        </c:scaling>
        <c:delete val="0"/>
        <c:axPos val="l"/>
        <c:numFmt formatCode="_(#,##0_);\(#,##0\);_(&quot;–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5279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2333482827785988"/>
          <c:y val="4.0563972265461615E-2"/>
          <c:w val="0.86634672331237528"/>
          <c:h val="9.34523804984903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02917734783567"/>
          <c:y val="0.11494971400294005"/>
          <c:w val="0.76762868213496627"/>
          <c:h val="0.777849418545417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'Outputs-R'!$C$11</c:f>
              <c:strCache>
                <c:ptCount val="1"/>
                <c:pt idx="0">
                  <c:v>Revenue</c:v>
                </c:pt>
              </c:strCache>
            </c:strRef>
          </c:tx>
          <c:spPr>
            <a:solidFill>
              <a:srgbClr val="E7F2FF"/>
            </a:solidFill>
            <a:ln w="9525" cap="flat" cmpd="sng" algn="ctr">
              <a:solidFill>
                <a:srgbClr val="E9F6F7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numRef>
              <c:f>'Outputs-R'!$H$5:$O$5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'Outputs-R'!$H$11:$O$11</c:f>
              <c:numCache>
                <c:formatCode>_(#,##0_);\(#,##0\);_("–"_);_(@_)</c:formatCode>
                <c:ptCount val="8"/>
                <c:pt idx="0">
                  <c:v>50589</c:v>
                </c:pt>
                <c:pt idx="1">
                  <c:v>51647.864999999998</c:v>
                </c:pt>
                <c:pt idx="2">
                  <c:v>53760.85</c:v>
                </c:pt>
                <c:pt idx="3">
                  <c:v>56481.149010000008</c:v>
                </c:pt>
                <c:pt idx="4">
                  <c:v>57616.420105101002</c:v>
                </c:pt>
                <c:pt idx="5">
                  <c:v>58774.510149213551</c:v>
                </c:pt>
                <c:pt idx="6">
                  <c:v>59659.066526959199</c:v>
                </c:pt>
                <c:pt idx="7">
                  <c:v>60257.148668891954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DF-4619-98F1-9E4C9F9185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35279256"/>
        <c:axId val="635280568"/>
      </c:barChart>
      <c:lineChart>
        <c:grouping val="standard"/>
        <c:varyColors val="0"/>
        <c:ser>
          <c:idx val="1"/>
          <c:order val="1"/>
          <c:tx>
            <c:strRef>
              <c:f>'Outputs-R'!$C$14</c:f>
              <c:strCache>
                <c:ptCount val="1"/>
                <c:pt idx="0">
                  <c:v>EBITDA Margin</c:v>
                </c:pt>
              </c:strCache>
            </c:strRef>
          </c:tx>
          <c:spPr>
            <a:ln w="28575" cap="rnd" cmpd="sng" algn="ctr">
              <a:solidFill>
                <a:srgbClr val="3271D2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marker>
            <c:symbol val="none"/>
          </c:marker>
          <c:cat>
            <c:numRef>
              <c:f>'Outputs-R'!$H$5:$O$5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'Outputs-R'!$H$14:$O$14</c:f>
              <c:numCache>
                <c:formatCode>_(#,##0.0%_);\(#,##0.0%\);_("–"_)_%;_(@_)_%</c:formatCode>
                <c:ptCount val="8"/>
                <c:pt idx="0">
                  <c:v>0.36378857063788572</c:v>
                </c:pt>
                <c:pt idx="1">
                  <c:v>0.36026369337822578</c:v>
                </c:pt>
                <c:pt idx="2">
                  <c:v>0.36851070063066338</c:v>
                </c:pt>
                <c:pt idx="3">
                  <c:v>0.37582725951081014</c:v>
                </c:pt>
                <c:pt idx="4">
                  <c:v>0.36870880221624797</c:v>
                </c:pt>
                <c:pt idx="5">
                  <c:v>0.36150025278589737</c:v>
                </c:pt>
                <c:pt idx="6">
                  <c:v>0.35468965510500766</c:v>
                </c:pt>
                <c:pt idx="7">
                  <c:v>0.34455934713798347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9DF-4619-98F1-9E4C9F918527}"/>
            </c:ext>
          </c:extLst>
        </c:ser>
        <c:ser>
          <c:idx val="2"/>
          <c:order val="2"/>
          <c:tx>
            <c:strRef>
              <c:f>'Outputs-R'!$C$17</c:f>
              <c:strCache>
                <c:ptCount val="1"/>
                <c:pt idx="0">
                  <c:v>Net Income Margin</c:v>
                </c:pt>
              </c:strCache>
            </c:strRef>
          </c:tx>
          <c:spPr>
            <a:ln w="28575" cap="rnd" cmpd="sng" algn="ctr">
              <a:solidFill>
                <a:srgbClr val="947131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marker>
            <c:symbol val="none"/>
          </c:marker>
          <c:cat>
            <c:numRef>
              <c:f>'Outputs-R'!$H$5:$O$5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'Outputs-R'!$H$17:$O$17</c:f>
              <c:numCache>
                <c:formatCode>_(#,##0.0%_);\(#,##0.0%\);_("–"_)_%;_(@_)_%</c:formatCode>
                <c:ptCount val="8"/>
                <c:pt idx="0">
                  <c:v>0.21349898199213269</c:v>
                </c:pt>
                <c:pt idx="1">
                  <c:v>0.2038777517715398</c:v>
                </c:pt>
                <c:pt idx="2">
                  <c:v>0.20815237296285305</c:v>
                </c:pt>
                <c:pt idx="3">
                  <c:v>0.18157952979477812</c:v>
                </c:pt>
                <c:pt idx="4">
                  <c:v>0.16925577272881953</c:v>
                </c:pt>
                <c:pt idx="5">
                  <c:v>0.16613405607170814</c:v>
                </c:pt>
                <c:pt idx="6">
                  <c:v>0.16268566688015204</c:v>
                </c:pt>
                <c:pt idx="7">
                  <c:v>0.15572856048063677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9DF-4619-98F1-9E4C9F9185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3547456"/>
        <c:axId val="405025360"/>
      </c:lineChart>
      <c:catAx>
        <c:axId val="635279256"/>
        <c:scaling>
          <c:orientation val="minMax"/>
        </c:scaling>
        <c:delete val="0"/>
        <c:axPos val="b"/>
        <c:numFmt formatCode="0000\A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5280568"/>
        <c:crosses val="autoZero"/>
        <c:auto val="1"/>
        <c:lblAlgn val="ctr"/>
        <c:lblOffset val="100"/>
        <c:noMultiLvlLbl val="0"/>
      </c:catAx>
      <c:valAx>
        <c:axId val="635280568"/>
        <c:scaling>
          <c:orientation val="minMax"/>
        </c:scaling>
        <c:delete val="0"/>
        <c:axPos val="l"/>
        <c:numFmt formatCode="_(#,##0_);\(#,##0\);_(&quot;–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5279256"/>
        <c:crosses val="autoZero"/>
        <c:crossBetween val="between"/>
      </c:valAx>
      <c:valAx>
        <c:axId val="405025360"/>
        <c:scaling>
          <c:orientation val="minMax"/>
        </c:scaling>
        <c:delete val="0"/>
        <c:axPos val="r"/>
        <c:numFmt formatCode="_(#,##0.0%_);\(#,##0.0%\);_(&quot;–&quot;_)_%;_(@_)_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553547456"/>
        <c:crosses val="max"/>
        <c:crossBetween val="between"/>
      </c:valAx>
      <c:catAx>
        <c:axId val="553547456"/>
        <c:scaling>
          <c:orientation val="minMax"/>
        </c:scaling>
        <c:delete val="1"/>
        <c:axPos val="b"/>
        <c:numFmt formatCode="0000\A" sourceLinked="1"/>
        <c:majorTickMark val="out"/>
        <c:minorTickMark val="none"/>
        <c:tickLblPos val="nextTo"/>
        <c:crossAx val="40502536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2333488497118543"/>
          <c:y val="5.0831792975970423E-2"/>
          <c:w val="0.76400777572706335"/>
          <c:h val="7.79451466404126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02917734783567"/>
          <c:y val="0.1020375223772628"/>
          <c:w val="0.8158215678085714"/>
          <c:h val="0.7971414548023136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'Outputs-R'!$C$23</c:f>
              <c:strCache>
                <c:ptCount val="1"/>
                <c:pt idx="0">
                  <c:v>Investing</c:v>
                </c:pt>
              </c:strCache>
            </c:strRef>
          </c:tx>
          <c:spPr>
            <a:solidFill>
              <a:srgbClr val="3271D2"/>
            </a:solidFill>
            <a:ln w="9525" cap="flat" cmpd="sng" algn="ctr">
              <a:solidFill>
                <a:srgbClr val="3271D2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numRef>
              <c:f>'Outputs-R'!$H$5:$O$5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'Outputs-R'!$H$23:$O$23</c:f>
              <c:numCache>
                <c:formatCode>_(#,##0_);\(#,##0\);_("–"_);_(@_)</c:formatCode>
                <c:ptCount val="8"/>
                <c:pt idx="0">
                  <c:v>-9014.9999999999927</c:v>
                </c:pt>
                <c:pt idx="1">
                  <c:v>-11733.000000000005</c:v>
                </c:pt>
                <c:pt idx="2">
                  <c:v>-11130</c:v>
                </c:pt>
                <c:pt idx="3">
                  <c:v>-25475</c:v>
                </c:pt>
                <c:pt idx="4">
                  <c:v>-7050</c:v>
                </c:pt>
                <c:pt idx="5">
                  <c:v>-7275</c:v>
                </c:pt>
                <c:pt idx="6">
                  <c:v>-7200</c:v>
                </c:pt>
                <c:pt idx="7">
                  <c:v>-7687.5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17-4887-AE98-BFE75B8A2670}"/>
            </c:ext>
          </c:extLst>
        </c:ser>
        <c:ser>
          <c:idx val="3"/>
          <c:order val="1"/>
          <c:tx>
            <c:strRef>
              <c:f>'Outputs-R'!$C$24</c:f>
              <c:strCache>
                <c:ptCount val="1"/>
                <c:pt idx="0">
                  <c:v>Financing</c:v>
                </c:pt>
              </c:strCache>
            </c:strRef>
          </c:tx>
          <c:spPr>
            <a:solidFill>
              <a:srgbClr val="1B3E70"/>
            </a:solidFill>
            <a:ln w="9525" cap="flat" cmpd="sng" algn="ctr">
              <a:solidFill>
                <a:srgbClr val="1B3E70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numRef>
              <c:f>'Outputs-R'!$H$5:$O$5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'Outputs-R'!$H$24:$O$24</c:f>
              <c:numCache>
                <c:formatCode>_(#,##0_);\(#,##0\);_("–"_);_(@_)</c:formatCode>
                <c:ptCount val="8"/>
                <c:pt idx="0">
                  <c:v>-3465</c:v>
                </c:pt>
                <c:pt idx="1">
                  <c:v>-7761</c:v>
                </c:pt>
                <c:pt idx="2">
                  <c:v>-7216</c:v>
                </c:pt>
                <c:pt idx="3">
                  <c:v>477.66903897964994</c:v>
                </c:pt>
                <c:pt idx="4">
                  <c:v>-9630.3963424958529</c:v>
                </c:pt>
                <c:pt idx="5">
                  <c:v>-9581.4604661888225</c:v>
                </c:pt>
                <c:pt idx="6">
                  <c:v>-9161.3832251677941</c:v>
                </c:pt>
                <c:pt idx="7">
                  <c:v>-6876.7518041748526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17-4887-AE98-BFE75B8A2670}"/>
            </c:ext>
          </c:extLst>
        </c:ser>
        <c:ser>
          <c:idx val="0"/>
          <c:order val="2"/>
          <c:tx>
            <c:strRef>
              <c:f>'Outputs-R'!$C$22</c:f>
              <c:strCache>
                <c:ptCount val="1"/>
                <c:pt idx="0">
                  <c:v>Operating</c:v>
                </c:pt>
              </c:strCache>
            </c:strRef>
          </c:tx>
          <c:spPr>
            <a:solidFill>
              <a:srgbClr val="E7F2FF"/>
            </a:solidFill>
            <a:ln w="9525" cap="flat" cmpd="sng" algn="ctr">
              <a:solidFill>
                <a:srgbClr val="E7F2FF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invertIfNegative val="0"/>
          <c:cat>
            <c:numRef>
              <c:f>'Outputs-R'!$H$5:$O$5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'Outputs-R'!$H$22:$O$22</c:f>
              <c:numCache>
                <c:formatCode>_(#,##0_);\(#,##0\);_("–"_);_(@_)</c:formatCode>
                <c:ptCount val="8"/>
                <c:pt idx="0">
                  <c:v>15655.7</c:v>
                </c:pt>
                <c:pt idx="1">
                  <c:v>16011.850599999998</c:v>
                </c:pt>
                <c:pt idx="2">
                  <c:v>17391.448499999999</c:v>
                </c:pt>
                <c:pt idx="3">
                  <c:v>16587.331861020353</c:v>
                </c:pt>
                <c:pt idx="4">
                  <c:v>16680.396342495853</c:v>
                </c:pt>
                <c:pt idx="5">
                  <c:v>16856.460466188822</c:v>
                </c:pt>
                <c:pt idx="6">
                  <c:v>17009.384942480039</c:v>
                </c:pt>
                <c:pt idx="7">
                  <c:v>16934.493183661154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17-4887-AE98-BFE75B8A2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635279256"/>
        <c:axId val="635280568"/>
      </c:barChart>
      <c:lineChart>
        <c:grouping val="standard"/>
        <c:varyColors val="0"/>
        <c:ser>
          <c:idx val="2"/>
          <c:order val="3"/>
          <c:tx>
            <c:strRef>
              <c:f>'Outputs-R'!$C$25</c:f>
              <c:strCache>
                <c:ptCount val="1"/>
                <c:pt idx="0">
                  <c:v>Change in Cash</c:v>
                </c:pt>
              </c:strCache>
            </c:strRef>
          </c:tx>
          <c:spPr>
            <a:ln w="28575" cap="rnd" cmpd="sng" algn="ctr">
              <a:solidFill>
                <a:srgbClr val="947131"/>
              </a:solidFill>
              <a:prstDash val="solid"/>
              <a:round/>
              <a:headEnd type="none" w="med" len="med"/>
              <a:tailEnd type="none" w="med" len="med"/>
            </a:ln>
            <a:effectLst/>
          </c:spPr>
          <c:marker>
            <c:symbol val="none"/>
          </c:marker>
          <c:cat>
            <c:numRef>
              <c:f>'Outputs-R'!$H$5:$O$5</c:f>
              <c:numCache>
                <c:formatCode>0000\A</c:formatCode>
                <c:ptCount val="8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 formatCode="0&quot;F&quot;">
                  <c:v>2023</c:v>
                </c:pt>
                <c:pt idx="4" formatCode="0&quot;F&quot;">
                  <c:v>2024</c:v>
                </c:pt>
                <c:pt idx="5" formatCode="0&quot;F&quot;">
                  <c:v>2025</c:v>
                </c:pt>
                <c:pt idx="6" formatCode="0&quot;F&quot;">
                  <c:v>2026</c:v>
                </c:pt>
                <c:pt idx="7" formatCode="0&quot;F&quot;">
                  <c:v>2027</c:v>
                </c:pt>
              </c:numCache>
            </c:numRef>
          </c:cat>
          <c:val>
            <c:numRef>
              <c:f>'Outputs-R'!$H$25:$O$25</c:f>
              <c:numCache>
                <c:formatCode>_(#,##0_);\(#,##0\);_("–"_);_(@_)</c:formatCode>
                <c:ptCount val="8"/>
                <c:pt idx="0">
                  <c:v>3175.700000000008</c:v>
                </c:pt>
                <c:pt idx="1">
                  <c:v>-3482.1494000000075</c:v>
                </c:pt>
                <c:pt idx="2">
                  <c:v>-954.5515000000014</c:v>
                </c:pt>
                <c:pt idx="3">
                  <c:v>-8409.9990999999973</c:v>
                </c:pt>
                <c:pt idx="4">
                  <c:v>0</c:v>
                </c:pt>
                <c:pt idx="5">
                  <c:v>0</c:v>
                </c:pt>
                <c:pt idx="6">
                  <c:v>648.00171731224509</c:v>
                </c:pt>
                <c:pt idx="7">
                  <c:v>2370.2413794863014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17-4887-AE98-BFE75B8A2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5279256"/>
        <c:axId val="635280568"/>
      </c:lineChart>
      <c:catAx>
        <c:axId val="635279256"/>
        <c:scaling>
          <c:orientation val="minMax"/>
        </c:scaling>
        <c:delete val="0"/>
        <c:axPos val="b"/>
        <c:numFmt formatCode="0000\A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5280568"/>
        <c:crosses val="autoZero"/>
        <c:auto val="1"/>
        <c:lblAlgn val="ctr"/>
        <c:lblOffset val="100"/>
        <c:noMultiLvlLbl val="0"/>
      </c:catAx>
      <c:valAx>
        <c:axId val="635280568"/>
        <c:scaling>
          <c:orientation val="minMax"/>
        </c:scaling>
        <c:delete val="0"/>
        <c:axPos val="l"/>
        <c:numFmt formatCode="_(#,##0_);\(#,##0\);_(&quot;–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en-US"/>
          </a:p>
        </c:txPr>
        <c:crossAx val="635279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2333482827785988"/>
          <c:y val="4.0563972265461615E-2"/>
          <c:w val="0.86634672331237528"/>
          <c:h val="9.34523804984903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Style="combo" dx="22" fmlaLink="Inputs!$E$5" fmlaRange="Inputs!$B$10:$B$12" noThreeD="1" sel="2" val="0"/>
</file>

<file path=xl/ctrlProps/ctrlProp2.xml><?xml version="1.0" encoding="utf-8"?>
<formControlPr xmlns="http://schemas.microsoft.com/office/spreadsheetml/2009/9/main" objectType="Drop" dropStyle="combo" dx="26" fmlaLink="$E$5" fmlaRange="$B$10:$B$12" noThreeD="1" sel="2" val="0"/>
</file>

<file path=xl/ctrlProps/ctrlProp3.xml><?xml version="1.0" encoding="utf-8"?>
<formControlPr xmlns="http://schemas.microsoft.com/office/spreadsheetml/2009/9/main" objectType="Drop" dropStyle="combo" dx="22" fmlaLink="$E$7" fmlaRange="$B$12:$B$14" noThreeD="1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corporatefinanceinstitute.com/" TargetMode="Externa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corporatefinanceinstitute.com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corporatefinanceinstitute.com/" TargetMode="Externa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28</xdr:row>
      <xdr:rowOff>1</xdr:rowOff>
    </xdr:from>
    <xdr:to>
      <xdr:col>8</xdr:col>
      <xdr:colOff>0</xdr:colOff>
      <xdr:row>46</xdr:row>
      <xdr:rowOff>57979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FA5DB37-6D55-47BB-89CF-651F142642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28</xdr:row>
      <xdr:rowOff>1</xdr:rowOff>
    </xdr:from>
    <xdr:to>
      <xdr:col>15</xdr:col>
      <xdr:colOff>3726</xdr:colOff>
      <xdr:row>45</xdr:row>
      <xdr:rowOff>190500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7438A3D-44F0-48CA-A313-1A9B5AC14C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29</xdr:row>
      <xdr:rowOff>1</xdr:rowOff>
    </xdr:from>
    <xdr:to>
      <xdr:col>8</xdr:col>
      <xdr:colOff>0</xdr:colOff>
      <xdr:row>47</xdr:row>
      <xdr:rowOff>57979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F33BCC7-3F06-45D4-AA86-1D5C438BC8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29</xdr:row>
      <xdr:rowOff>1</xdr:rowOff>
    </xdr:from>
    <xdr:to>
      <xdr:col>15</xdr:col>
      <xdr:colOff>3726</xdr:colOff>
      <xdr:row>46</xdr:row>
      <xdr:rowOff>190500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9A2B6B0-D303-493B-AE47-39439528BB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487680</xdr:colOff>
          <xdr:row>6</xdr:row>
          <xdr:rowOff>0</xdr:rowOff>
        </xdr:from>
        <xdr:to>
          <xdr:col>5</xdr:col>
          <xdr:colOff>0</xdr:colOff>
          <xdr:row>7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</xdr:col>
      <xdr:colOff>130967</xdr:colOff>
      <xdr:row>0</xdr:row>
      <xdr:rowOff>138154</xdr:rowOff>
    </xdr:from>
    <xdr:ext cx="1211037" cy="354142"/>
    <xdr:pic>
      <xdr:nvPicPr>
        <xdr:cNvPr id="4" name="Picture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E59261C-7229-44F5-8454-F93C731EEA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567" y="138154"/>
          <a:ext cx="1211037" cy="354142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</xdr:colOff>
          <xdr:row>3</xdr:row>
          <xdr:rowOff>182880</xdr:rowOff>
        </xdr:from>
        <xdr:to>
          <xdr:col>5</xdr:col>
          <xdr:colOff>30480</xdr:colOff>
          <xdr:row>5</xdr:row>
          <xdr:rowOff>7620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3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259080</xdr:colOff>
          <xdr:row>6</xdr:row>
          <xdr:rowOff>0</xdr:rowOff>
        </xdr:from>
        <xdr:to>
          <xdr:col>5</xdr:col>
          <xdr:colOff>0</xdr:colOff>
          <xdr:row>7</xdr:row>
          <xdr:rowOff>0</xdr:rowOff>
        </xdr:to>
        <xdr:sp macro="" textlink="">
          <xdr:nvSpPr>
            <xdr:cNvPr id="5121" name="Drop Dow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4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oneCellAnchor>
    <xdr:from>
      <xdr:col>1</xdr:col>
      <xdr:colOff>130967</xdr:colOff>
      <xdr:row>0</xdr:row>
      <xdr:rowOff>138154</xdr:rowOff>
    </xdr:from>
    <xdr:ext cx="1211037" cy="354142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EDA1660-5085-4AAB-97A7-FF2F54D003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567" y="138154"/>
          <a:ext cx="1211037" cy="354142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130967</xdr:colOff>
      <xdr:row>0</xdr:row>
      <xdr:rowOff>138154</xdr:rowOff>
    </xdr:from>
    <xdr:ext cx="1211037" cy="354142"/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1175B4-FB10-4482-8880-A6C9F29C2C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567" y="138154"/>
          <a:ext cx="1211037" cy="3541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fozleyelahi.com/" TargetMode="External"/><Relationship Id="rId1" Type="http://schemas.openxmlformats.org/officeDocument/2006/relationships/hyperlink" Target="https://www.linkedin.com/public-profile/setting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vmlDrawing" Target="../drawings/vmlDrawing5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3.xml"/><Relationship Id="rId4" Type="http://schemas.openxmlformats.org/officeDocument/2006/relationships/vmlDrawing" Target="../drawings/vmlDrawing7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347D19-B765-484B-B07B-AACBD42673E3}">
  <dimension ref="B1:I29"/>
  <sheetViews>
    <sheetView showGridLines="0" tabSelected="1" workbookViewId="0">
      <selection activeCell="K10" sqref="K10"/>
    </sheetView>
  </sheetViews>
  <sheetFormatPr defaultRowHeight="14.4"/>
  <sheetData>
    <row r="1" spans="2:9" ht="15" thickBot="1"/>
    <row r="2" spans="2:9" ht="21" thickBot="1">
      <c r="B2" s="733"/>
      <c r="C2" s="734"/>
      <c r="D2" s="734"/>
      <c r="E2" s="743" t="s">
        <v>207</v>
      </c>
      <c r="F2" s="734"/>
      <c r="G2" s="734"/>
      <c r="H2" s="734"/>
      <c r="I2" s="735"/>
    </row>
    <row r="3" spans="2:9" ht="15.6">
      <c r="B3" s="733"/>
      <c r="C3" s="734"/>
      <c r="D3" s="734"/>
      <c r="E3" s="734"/>
      <c r="F3" s="734"/>
      <c r="G3" s="734"/>
      <c r="H3" s="734"/>
      <c r="I3" s="735"/>
    </row>
    <row r="4" spans="2:9" ht="15.6">
      <c r="B4" s="736"/>
      <c r="C4" s="634"/>
      <c r="D4" s="634"/>
      <c r="E4" s="634"/>
      <c r="F4" s="634"/>
      <c r="G4" s="634"/>
      <c r="H4" s="634"/>
      <c r="I4" s="737"/>
    </row>
    <row r="5" spans="2:9" ht="15.6">
      <c r="B5" s="736"/>
      <c r="C5" s="634"/>
      <c r="D5" s="634"/>
      <c r="E5" s="634"/>
      <c r="F5" s="634"/>
      <c r="G5" s="634"/>
      <c r="H5" s="634"/>
      <c r="I5" s="737"/>
    </row>
    <row r="6" spans="2:9" ht="15.6">
      <c r="B6" s="738" t="s">
        <v>208</v>
      </c>
      <c r="C6" s="634" t="s">
        <v>209</v>
      </c>
      <c r="D6" s="634"/>
      <c r="E6" s="634"/>
      <c r="F6" s="634"/>
      <c r="G6" s="634"/>
      <c r="H6" s="634"/>
      <c r="I6" s="737"/>
    </row>
    <row r="7" spans="2:9" ht="15.6">
      <c r="B7" s="736"/>
      <c r="C7" s="634" t="s">
        <v>210</v>
      </c>
      <c r="D7" s="634"/>
      <c r="E7" s="634"/>
      <c r="F7" s="634"/>
      <c r="G7" s="634"/>
      <c r="H7" s="634"/>
      <c r="I7" s="737"/>
    </row>
    <row r="8" spans="2:9" ht="15.6">
      <c r="B8" s="736"/>
      <c r="C8" s="634"/>
      <c r="D8" s="634"/>
      <c r="E8" s="634"/>
      <c r="F8" s="634"/>
      <c r="G8" s="634"/>
      <c r="H8" s="634"/>
      <c r="I8" s="737"/>
    </row>
    <row r="9" spans="2:9" ht="15.6">
      <c r="B9" s="736"/>
      <c r="C9" s="634"/>
      <c r="D9" s="634"/>
      <c r="E9" s="634"/>
      <c r="F9" s="634"/>
      <c r="G9" s="634"/>
      <c r="H9" s="634"/>
      <c r="I9" s="737"/>
    </row>
    <row r="10" spans="2:9" ht="15.6">
      <c r="B10" s="738"/>
      <c r="C10" s="634"/>
      <c r="D10" s="634"/>
      <c r="E10" s="634"/>
      <c r="F10" s="634"/>
      <c r="G10" s="634"/>
      <c r="H10" s="634"/>
      <c r="I10" s="737"/>
    </row>
    <row r="11" spans="2:9" ht="15.6">
      <c r="B11" s="736"/>
      <c r="C11" s="634"/>
      <c r="D11" s="634"/>
      <c r="E11" s="634"/>
      <c r="F11" s="634"/>
      <c r="G11" s="634"/>
      <c r="H11" s="634"/>
      <c r="I11" s="737"/>
    </row>
    <row r="12" spans="2:9" ht="15.6">
      <c r="B12" s="736"/>
      <c r="C12" s="634"/>
      <c r="D12" s="634"/>
      <c r="E12" s="634"/>
      <c r="F12" s="634"/>
      <c r="G12" s="634"/>
      <c r="H12" s="634"/>
      <c r="I12" s="737"/>
    </row>
    <row r="13" spans="2:9" ht="15.6">
      <c r="B13" s="736"/>
      <c r="C13" s="634"/>
      <c r="D13" s="634"/>
      <c r="E13" s="634"/>
      <c r="F13" s="634"/>
      <c r="G13" s="634"/>
      <c r="H13" s="634"/>
      <c r="I13" s="737"/>
    </row>
    <row r="14" spans="2:9" ht="15.6">
      <c r="B14" s="736"/>
      <c r="C14" s="634"/>
      <c r="D14" s="634"/>
      <c r="E14" s="634"/>
      <c r="F14" s="634"/>
      <c r="G14" s="634"/>
      <c r="H14" s="634"/>
      <c r="I14" s="737"/>
    </row>
    <row r="15" spans="2:9" ht="15.6">
      <c r="B15" s="736"/>
      <c r="C15" s="634"/>
      <c r="D15" s="634"/>
      <c r="E15" s="634"/>
      <c r="F15" s="634"/>
      <c r="G15" s="634"/>
      <c r="H15" s="634"/>
      <c r="I15" s="737"/>
    </row>
    <row r="16" spans="2:9" ht="15.6">
      <c r="B16" s="736"/>
      <c r="C16" s="634"/>
      <c r="D16" s="634"/>
      <c r="E16" s="634"/>
      <c r="F16" s="634"/>
      <c r="G16" s="634"/>
      <c r="H16" s="634"/>
      <c r="I16" s="737"/>
    </row>
    <row r="17" spans="2:9" ht="15.6">
      <c r="B17" s="736"/>
      <c r="C17" s="634"/>
      <c r="D17" s="634"/>
      <c r="E17" s="634"/>
      <c r="F17" s="634"/>
      <c r="G17" s="634"/>
      <c r="H17" s="634"/>
      <c r="I17" s="737"/>
    </row>
    <row r="18" spans="2:9" ht="15.6">
      <c r="B18" s="736"/>
      <c r="C18" s="634"/>
      <c r="D18" s="634"/>
      <c r="E18" s="634"/>
      <c r="F18" s="634"/>
      <c r="G18" s="634"/>
      <c r="H18" s="634"/>
      <c r="I18" s="737"/>
    </row>
    <row r="19" spans="2:9" ht="15.6">
      <c r="B19" s="738" t="s">
        <v>211</v>
      </c>
      <c r="C19" s="634"/>
      <c r="D19" s="634"/>
      <c r="E19" s="634"/>
      <c r="F19" s="634"/>
      <c r="G19" s="634"/>
      <c r="H19" s="634"/>
      <c r="I19" s="737"/>
    </row>
    <row r="20" spans="2:9" ht="15.6">
      <c r="B20" s="736"/>
      <c r="C20" s="634"/>
      <c r="D20" s="634"/>
      <c r="E20" s="634"/>
      <c r="F20" s="634"/>
      <c r="G20" s="634"/>
      <c r="H20" s="634"/>
      <c r="I20" s="737"/>
    </row>
    <row r="21" spans="2:9" ht="15.6">
      <c r="B21" s="736" t="s">
        <v>212</v>
      </c>
      <c r="C21" s="634"/>
      <c r="D21" s="634"/>
      <c r="E21" s="634"/>
      <c r="F21" s="634"/>
      <c r="G21" s="634"/>
      <c r="H21" s="634"/>
      <c r="I21" s="737"/>
    </row>
    <row r="22" spans="2:9" ht="15.6">
      <c r="B22" s="736" t="s">
        <v>213</v>
      </c>
      <c r="C22" s="634"/>
      <c r="D22" s="634"/>
      <c r="E22" s="634"/>
      <c r="F22" s="634"/>
      <c r="G22" s="634"/>
      <c r="H22" s="634"/>
      <c r="I22" s="737"/>
    </row>
    <row r="23" spans="2:9" ht="15.6">
      <c r="B23" s="736" t="s">
        <v>214</v>
      </c>
      <c r="C23" s="634"/>
      <c r="D23" s="634"/>
      <c r="E23" s="634"/>
      <c r="F23" s="634"/>
      <c r="G23" s="634"/>
      <c r="H23" s="634"/>
      <c r="I23" s="737"/>
    </row>
    <row r="24" spans="2:9" ht="15.6">
      <c r="B24" s="736" t="s">
        <v>215</v>
      </c>
      <c r="C24" s="634"/>
      <c r="D24" s="634"/>
      <c r="E24" s="634"/>
      <c r="F24" s="634"/>
      <c r="G24" s="634"/>
      <c r="H24" s="634"/>
      <c r="I24" s="737"/>
    </row>
    <row r="25" spans="2:9" ht="15.6">
      <c r="B25" s="736"/>
      <c r="C25" s="634"/>
      <c r="D25" s="634"/>
      <c r="E25" s="634"/>
      <c r="F25" s="634"/>
      <c r="G25" s="634"/>
      <c r="H25" s="634"/>
      <c r="I25" s="737"/>
    </row>
    <row r="26" spans="2:9" ht="15.6">
      <c r="B26" s="736" t="s">
        <v>216</v>
      </c>
      <c r="C26" s="739" t="s">
        <v>217</v>
      </c>
      <c r="D26" s="634"/>
      <c r="E26" s="634"/>
      <c r="F26" s="634"/>
      <c r="G26" s="634"/>
      <c r="H26" s="634"/>
      <c r="I26" s="737"/>
    </row>
    <row r="27" spans="2:9" ht="15.6">
      <c r="B27" s="736" t="s">
        <v>218</v>
      </c>
      <c r="C27" s="739" t="s">
        <v>219</v>
      </c>
      <c r="D27" s="634"/>
      <c r="E27" s="634"/>
      <c r="F27" s="634"/>
      <c r="G27" s="634"/>
      <c r="H27" s="634"/>
      <c r="I27" s="737"/>
    </row>
    <row r="28" spans="2:9" ht="15.6">
      <c r="B28" s="736"/>
      <c r="C28" s="634"/>
      <c r="D28" s="634"/>
      <c r="E28" s="634"/>
      <c r="F28" s="634"/>
      <c r="G28" s="634"/>
      <c r="H28" s="634"/>
      <c r="I28" s="737"/>
    </row>
    <row r="29" spans="2:9" ht="15.6">
      <c r="B29" s="740"/>
      <c r="C29" s="741"/>
      <c r="D29" s="741"/>
      <c r="E29" s="741"/>
      <c r="F29" s="741"/>
      <c r="G29" s="741"/>
      <c r="H29" s="741"/>
      <c r="I29" s="742"/>
    </row>
  </sheetData>
  <hyperlinks>
    <hyperlink ref="C26" r:id="rId1" display="https://www.linkedin.com/public-profile/settings" xr:uid="{5EE36BAB-509E-4DEE-8FC1-B706BE2C1817}"/>
    <hyperlink ref="C27" r:id="rId2" xr:uid="{AE2C9BDC-007E-4092-8040-EFCAB1555577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EB4BD-0FF5-4DA1-9639-491AE8A18225}">
  <sheetPr>
    <pageSetUpPr autoPageBreaks="0"/>
  </sheetPr>
  <dimension ref="B1:P49"/>
  <sheetViews>
    <sheetView showGridLines="0" zoomScaleNormal="100" zoomScaleSheetLayoutView="100" workbookViewId="0">
      <pane ySplit="1" topLeftCell="A34" activePane="bottomLeft" state="frozen"/>
      <selection activeCell="R427" sqref="R427"/>
      <selection pane="bottomLeft" activeCell="F16" sqref="F16"/>
    </sheetView>
  </sheetViews>
  <sheetFormatPr defaultColWidth="9.109375" defaultRowHeight="13.8" outlineLevelRow="1"/>
  <cols>
    <col min="1" max="1" width="9.109375" style="386"/>
    <col min="2" max="2" width="1.6640625" style="386" customWidth="1"/>
    <col min="3" max="3" width="12.88671875" style="386" customWidth="1"/>
    <col min="4" max="6" width="11.88671875" style="386" customWidth="1"/>
    <col min="7" max="7" width="12.33203125" style="386" customWidth="1"/>
    <col min="8" max="15" width="11.88671875" style="386" customWidth="1"/>
    <col min="16" max="16" width="1.6640625" style="386" customWidth="1"/>
    <col min="17" max="17" width="12.33203125" style="386" customWidth="1"/>
    <col min="18" max="16384" width="9.109375" style="386"/>
  </cols>
  <sheetData>
    <row r="1" spans="2:16" ht="15" customHeight="1"/>
    <row r="2" spans="2:16" ht="15" customHeight="1">
      <c r="B2" s="408" t="s">
        <v>16</v>
      </c>
      <c r="C2" s="409"/>
      <c r="D2" s="409"/>
      <c r="E2" s="410"/>
      <c r="F2" s="410"/>
      <c r="G2" s="411"/>
      <c r="H2" s="411"/>
      <c r="I2" s="411"/>
      <c r="J2" s="411"/>
      <c r="K2" s="411"/>
      <c r="L2" s="411"/>
      <c r="M2" s="411"/>
      <c r="N2" s="411"/>
      <c r="O2" s="411"/>
    </row>
    <row r="3" spans="2:16" ht="15" customHeight="1" outlineLevel="1"/>
    <row r="4" spans="2:16" ht="15" customHeight="1" outlineLevel="1" thickBot="1">
      <c r="B4" s="417" t="s">
        <v>15</v>
      </c>
      <c r="D4" s="402"/>
      <c r="E4" s="404"/>
      <c r="F4" s="404"/>
      <c r="G4" s="642"/>
      <c r="H4" s="719">
        <f>I4-1</f>
        <v>2020</v>
      </c>
      <c r="I4" s="719">
        <f>J4-1</f>
        <v>2021</v>
      </c>
      <c r="J4" s="719">
        <f>K4-1</f>
        <v>2022</v>
      </c>
      <c r="K4" s="720">
        <f>Inputs!$F$50</f>
        <v>2023</v>
      </c>
      <c r="L4" s="720">
        <f>K4+1</f>
        <v>2024</v>
      </c>
      <c r="M4" s="720">
        <f>L4+1</f>
        <v>2025</v>
      </c>
      <c r="N4" s="720">
        <f>M4+1</f>
        <v>2026</v>
      </c>
      <c r="O4" s="720">
        <f>N4+1</f>
        <v>2027</v>
      </c>
    </row>
    <row r="5" spans="2:16" ht="15" customHeight="1" outlineLevel="1">
      <c r="C5" s="476"/>
      <c r="E5" s="639"/>
      <c r="F5" s="639"/>
      <c r="G5" s="639"/>
      <c r="H5" s="721"/>
      <c r="I5" s="721"/>
      <c r="J5" s="721"/>
      <c r="K5" s="721"/>
      <c r="L5" s="721"/>
      <c r="M5" s="722"/>
      <c r="N5" s="723"/>
      <c r="O5" s="724"/>
    </row>
    <row r="6" spans="2:16" ht="15" customHeight="1" outlineLevel="1">
      <c r="B6" s="725" t="s">
        <v>14</v>
      </c>
      <c r="E6" s="726"/>
      <c r="F6" s="639"/>
      <c r="G6" s="639"/>
      <c r="H6" s="639"/>
      <c r="I6" s="639"/>
      <c r="J6" s="639"/>
      <c r="K6" s="639"/>
      <c r="L6" s="639"/>
      <c r="M6" s="643"/>
      <c r="N6" s="644"/>
    </row>
    <row r="7" spans="2:16" s="385" customFormat="1" ht="15" customHeight="1" outlineLevel="1">
      <c r="B7" s="386"/>
      <c r="C7" s="386"/>
      <c r="D7" s="639"/>
      <c r="E7" s="639"/>
      <c r="F7" s="639"/>
      <c r="G7" s="386"/>
      <c r="H7" s="386"/>
      <c r="I7" s="386"/>
      <c r="J7" s="386"/>
      <c r="K7" s="386"/>
      <c r="L7" s="386"/>
      <c r="M7" s="386"/>
      <c r="N7" s="386"/>
      <c r="O7" s="386"/>
      <c r="P7" s="386"/>
    </row>
    <row r="8" spans="2:16" s="385" customFormat="1" ht="15" customHeight="1" outlineLevel="1">
      <c r="C8" s="434" t="s">
        <v>4</v>
      </c>
      <c r="P8" s="386"/>
    </row>
    <row r="9" spans="2:16" s="385" customFormat="1" ht="6" customHeight="1" outlineLevel="1">
      <c r="C9" s="434"/>
      <c r="P9" s="386"/>
    </row>
    <row r="10" spans="2:16" s="385" customFormat="1" ht="15" customHeight="1" outlineLevel="1">
      <c r="C10" s="453" t="s">
        <v>13</v>
      </c>
      <c r="H10" s="581">
        <f>Model!F10</f>
        <v>50589</v>
      </c>
      <c r="I10" s="581">
        <f>Model!G10</f>
        <v>51647.864999999998</v>
      </c>
      <c r="J10" s="581">
        <f>Model!H10</f>
        <v>53760.85</v>
      </c>
      <c r="K10" s="581">
        <f>Model!I10</f>
        <v>56481.149010000008</v>
      </c>
      <c r="L10" s="581">
        <f>Model!J10</f>
        <v>57616.420105101002</v>
      </c>
      <c r="M10" s="581">
        <f>Model!K10</f>
        <v>58774.510149213551</v>
      </c>
      <c r="N10" s="581">
        <f>Model!L10</f>
        <v>59659.066526959199</v>
      </c>
      <c r="O10" s="581">
        <f>Model!M10</f>
        <v>60257.148668891954</v>
      </c>
      <c r="P10" s="386"/>
    </row>
    <row r="11" spans="2:16" s="385" customFormat="1" ht="6" customHeight="1" outlineLevel="1">
      <c r="C11" s="453"/>
      <c r="H11" s="581"/>
      <c r="I11" s="581"/>
      <c r="J11" s="581"/>
      <c r="K11" s="581"/>
      <c r="L11" s="581"/>
      <c r="M11" s="581"/>
      <c r="N11" s="581"/>
      <c r="O11" s="581"/>
      <c r="P11" s="386"/>
    </row>
    <row r="12" spans="2:16" s="385" customFormat="1" ht="15" customHeight="1" outlineLevel="1">
      <c r="C12" s="453" t="s">
        <v>12</v>
      </c>
      <c r="H12" s="581">
        <f>Model!F17</f>
        <v>18403.7</v>
      </c>
      <c r="I12" s="581">
        <f>Model!G17</f>
        <v>18606.850599999998</v>
      </c>
      <c r="J12" s="581">
        <f>Model!H17</f>
        <v>19811.448499999999</v>
      </c>
      <c r="K12" s="581">
        <f>Model!I17</f>
        <v>21227.155446450011</v>
      </c>
      <c r="L12" s="581">
        <f>Model!J17</f>
        <v>21243.681244939937</v>
      </c>
      <c r="M12" s="581">
        <f>Model!K17</f>
        <v>21247.00027630799</v>
      </c>
      <c r="N12" s="581">
        <f>Model!L17</f>
        <v>21160.453730333866</v>
      </c>
      <c r="O12" s="581">
        <f>Model!M17</f>
        <v>20762.16380574982</v>
      </c>
      <c r="P12" s="386"/>
    </row>
    <row r="13" spans="2:16" s="385" customFormat="1" ht="15" customHeight="1" outlineLevel="1">
      <c r="C13" s="727" t="s">
        <v>11</v>
      </c>
      <c r="H13" s="728"/>
      <c r="I13" s="728"/>
      <c r="J13" s="728"/>
      <c r="K13" s="728"/>
      <c r="L13" s="728"/>
      <c r="M13" s="728"/>
      <c r="N13" s="728"/>
      <c r="O13" s="728"/>
      <c r="P13" s="386"/>
    </row>
    <row r="14" spans="2:16" s="385" customFormat="1" ht="6" customHeight="1" outlineLevel="1">
      <c r="C14" s="727"/>
      <c r="H14" s="729"/>
      <c r="I14" s="729"/>
      <c r="J14" s="729"/>
      <c r="K14" s="729"/>
      <c r="L14" s="729"/>
      <c r="M14" s="729"/>
      <c r="N14" s="729"/>
      <c r="O14" s="729"/>
      <c r="P14" s="386"/>
    </row>
    <row r="15" spans="2:16" s="385" customFormat="1" ht="15" customHeight="1" outlineLevel="1">
      <c r="C15" s="453" t="s">
        <v>10</v>
      </c>
      <c r="H15" s="581">
        <f>Model!F34</f>
        <v>10800.7</v>
      </c>
      <c r="I15" s="581">
        <f>Model!G34</f>
        <v>10529.850599999998</v>
      </c>
      <c r="J15" s="581">
        <f>Model!H34</f>
        <v>11190.448499999999</v>
      </c>
      <c r="K15" s="581">
        <f ca="1">Model!I34</f>
        <v>10255.820479504599</v>
      </c>
      <c r="L15" s="581">
        <f ca="1">Model!J34</f>
        <v>9751.9117067571642</v>
      </c>
      <c r="M15" s="581">
        <f ca="1">Model!K34</f>
        <v>9764.4477647166241</v>
      </c>
      <c r="N15" s="581">
        <f ca="1">Model!L34</f>
        <v>9705.6750233857128</v>
      </c>
      <c r="O15" s="581">
        <f ca="1">Model!M34</f>
        <v>9383.7590208742622</v>
      </c>
      <c r="P15" s="386"/>
    </row>
    <row r="16" spans="2:16" s="385" customFormat="1" ht="15" customHeight="1" outlineLevel="1">
      <c r="C16" s="727" t="s">
        <v>9</v>
      </c>
      <c r="H16" s="730"/>
      <c r="I16" s="730"/>
      <c r="J16" s="730"/>
      <c r="K16" s="730"/>
      <c r="L16" s="730"/>
      <c r="M16" s="730"/>
      <c r="N16" s="730"/>
      <c r="O16" s="730"/>
      <c r="P16" s="386"/>
    </row>
    <row r="17" spans="3:16" s="385" customFormat="1" ht="15" customHeight="1" outlineLevel="1">
      <c r="P17" s="386"/>
    </row>
    <row r="18" spans="3:16" s="385" customFormat="1" ht="15" customHeight="1" outlineLevel="1">
      <c r="P18" s="386"/>
    </row>
    <row r="19" spans="3:16" s="385" customFormat="1" ht="15" customHeight="1" outlineLevel="1">
      <c r="C19" s="434" t="s">
        <v>3</v>
      </c>
      <c r="P19" s="386"/>
    </row>
    <row r="20" spans="3:16" s="385" customFormat="1" ht="6" customHeight="1" outlineLevel="1">
      <c r="C20" s="434"/>
      <c r="P20" s="386"/>
    </row>
    <row r="21" spans="3:16" s="385" customFormat="1" ht="15" customHeight="1" outlineLevel="1">
      <c r="C21" s="453" t="s">
        <v>8</v>
      </c>
      <c r="H21" s="581">
        <f>Model!F51</f>
        <v>15655.7</v>
      </c>
      <c r="I21" s="581">
        <f>Model!G51</f>
        <v>16011.850599999998</v>
      </c>
      <c r="J21" s="581">
        <f>Model!H51</f>
        <v>17391.448499999999</v>
      </c>
      <c r="K21" s="581">
        <f ca="1">Model!I51</f>
        <v>16587.331861020353</v>
      </c>
      <c r="L21" s="581">
        <f ca="1">Model!J51</f>
        <v>16680.396342495853</v>
      </c>
      <c r="M21" s="581">
        <f ca="1">Model!K51</f>
        <v>16856.460466188822</v>
      </c>
      <c r="N21" s="581">
        <f ca="1">Model!L51</f>
        <v>17009.384942480039</v>
      </c>
      <c r="O21" s="581">
        <f ca="1">Model!M51</f>
        <v>16934.493183661154</v>
      </c>
      <c r="P21" s="386"/>
    </row>
    <row r="22" spans="3:16" s="385" customFormat="1" ht="15" customHeight="1" outlineLevel="1">
      <c r="C22" s="453" t="s">
        <v>7</v>
      </c>
      <c r="H22" s="581">
        <f>Model!F56</f>
        <v>-9014.9999999999927</v>
      </c>
      <c r="I22" s="581">
        <f>Model!G56</f>
        <v>-11733.000000000005</v>
      </c>
      <c r="J22" s="581">
        <f>Model!H56</f>
        <v>-11130</v>
      </c>
      <c r="K22" s="581">
        <f>Model!I56</f>
        <v>-25475</v>
      </c>
      <c r="L22" s="581">
        <f>Model!J56</f>
        <v>-7050</v>
      </c>
      <c r="M22" s="581">
        <f>Model!K56</f>
        <v>-7275</v>
      </c>
      <c r="N22" s="581">
        <f>Model!L56</f>
        <v>-7200</v>
      </c>
      <c r="O22" s="581">
        <f>Model!M56</f>
        <v>-7687.5</v>
      </c>
      <c r="P22" s="386"/>
    </row>
    <row r="23" spans="3:16" s="385" customFormat="1" ht="15" customHeight="1" outlineLevel="1">
      <c r="C23" s="453" t="s">
        <v>6</v>
      </c>
      <c r="H23" s="585">
        <f>Model!F64</f>
        <v>-3465</v>
      </c>
      <c r="I23" s="585">
        <f>Model!G64</f>
        <v>-7761</v>
      </c>
      <c r="J23" s="585">
        <f>Model!H64</f>
        <v>-7216</v>
      </c>
      <c r="K23" s="585">
        <f ca="1">Model!I64</f>
        <v>477.66903897964994</v>
      </c>
      <c r="L23" s="585">
        <f ca="1">Model!J64</f>
        <v>-9630.3963424958529</v>
      </c>
      <c r="M23" s="585">
        <f ca="1">Model!K64</f>
        <v>-9581.4604661888225</v>
      </c>
      <c r="N23" s="585">
        <f ca="1">Model!L64</f>
        <v>-9161.3832251677941</v>
      </c>
      <c r="O23" s="585">
        <f ca="1">Model!M64</f>
        <v>-6876.7518041748526</v>
      </c>
      <c r="P23" s="386"/>
    </row>
    <row r="24" spans="3:16" s="385" customFormat="1" ht="15" customHeight="1" outlineLevel="1">
      <c r="C24" s="453" t="s">
        <v>5</v>
      </c>
      <c r="H24" s="429"/>
      <c r="I24" s="429"/>
      <c r="J24" s="429"/>
      <c r="K24" s="429"/>
      <c r="L24" s="429"/>
      <c r="M24" s="429"/>
      <c r="N24" s="429"/>
      <c r="O24" s="429"/>
      <c r="P24" s="386"/>
    </row>
    <row r="25" spans="3:16" s="385" customFormat="1" ht="15" customHeight="1" outlineLevel="1"/>
    <row r="26" spans="3:16" s="385" customFormat="1" outlineLevel="1"/>
    <row r="27" spans="3:16" s="385" customFormat="1" outlineLevel="1"/>
    <row r="28" spans="3:16" s="550" customFormat="1" outlineLevel="1">
      <c r="C28" s="731" t="s">
        <v>4</v>
      </c>
      <c r="D28" s="731"/>
      <c r="E28" s="731"/>
      <c r="F28" s="718"/>
      <c r="G28" s="732"/>
      <c r="H28" s="718"/>
      <c r="J28" s="731" t="s">
        <v>3</v>
      </c>
      <c r="K28" s="731"/>
      <c r="L28" s="731"/>
      <c r="M28" s="731"/>
      <c r="N28" s="718"/>
      <c r="O28" s="718"/>
    </row>
    <row r="29" spans="3:16" s="385" customFormat="1" outlineLevel="1"/>
    <row r="30" spans="3:16" s="385" customFormat="1" outlineLevel="1"/>
    <row r="31" spans="3:16" s="385" customFormat="1" outlineLevel="1"/>
    <row r="32" spans="3:16" s="385" customFormat="1" outlineLevel="1"/>
    <row r="33" s="385" customFormat="1" outlineLevel="1"/>
    <row r="34" s="385" customFormat="1" outlineLevel="1"/>
    <row r="35" s="385" customFormat="1" outlineLevel="1"/>
    <row r="36" s="385" customFormat="1" outlineLevel="1"/>
    <row r="37" s="385" customFormat="1" outlineLevel="1"/>
    <row r="38" s="385" customFormat="1" outlineLevel="1"/>
    <row r="39" s="385" customFormat="1" outlineLevel="1"/>
    <row r="40" s="385" customFormat="1" outlineLevel="1"/>
    <row r="41" s="385" customFormat="1" outlineLevel="1"/>
    <row r="42" s="385" customFormat="1" outlineLevel="1"/>
    <row r="43" s="385" customFormat="1" ht="16.5" customHeight="1" outlineLevel="1"/>
    <row r="44" s="385" customFormat="1" outlineLevel="1"/>
    <row r="45" s="385" customFormat="1" outlineLevel="1"/>
    <row r="46" s="385" customFormat="1" outlineLevel="1"/>
    <row r="47" s="385" customFormat="1" outlineLevel="1"/>
    <row r="48" outlineLevel="1"/>
    <row r="49" spans="2:15" outlineLevel="1"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 t="s">
        <v>0</v>
      </c>
    </row>
  </sheetData>
  <conditionalFormatting sqref="H5:O6">
    <cfRule type="containsText" dxfId="30" priority="1" operator="containsText" text="OK">
      <formula>NOT(ISERROR(SEARCH("OK",H5)))</formula>
    </cfRule>
    <cfRule type="containsText" dxfId="29" priority="2" operator="containsText" text="ERROR">
      <formula>NOT(ISERROR(SEARCH("ERROR",H5)))</formula>
    </cfRule>
  </conditionalFormatting>
  <printOptions horizontalCentered="1"/>
  <pageMargins left="0.11811023622047245" right="0.11811023622047245" top="0.11811023622047245" bottom="0.11811023622047245" header="0.11811023622047245" footer="0.11811023622047245"/>
  <pageSetup scale="85" orientation="landscape" r:id="rId1"/>
  <headerFooter alignWithMargins="0">
    <oddFooter>&amp;L&amp;"Open Sans,Bold"&amp;10 &amp;K0020603-Statement Modeling&amp;C&amp;"Open Sans,Bold"&amp;10&amp;K002060Page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8AFB9-4BCD-4E7F-A07C-7C49F3E9A457}">
  <sheetPr>
    <tabColor theme="1"/>
    <pageSetUpPr autoPageBreaks="0"/>
  </sheetPr>
  <dimension ref="A1:T50"/>
  <sheetViews>
    <sheetView showGridLines="0" zoomScaleNormal="100" zoomScaleSheetLayoutView="100" workbookViewId="0">
      <pane ySplit="1" topLeftCell="A2" activePane="bottomLeft" state="frozen"/>
      <selection pane="bottomLeft"/>
    </sheetView>
  </sheetViews>
  <sheetFormatPr defaultColWidth="9.109375" defaultRowHeight="15.6" outlineLevelRow="1"/>
  <cols>
    <col min="1" max="1" width="9.109375" style="4"/>
    <col min="2" max="2" width="1.6640625" style="4" customWidth="1"/>
    <col min="3" max="3" width="12.88671875" style="4" customWidth="1"/>
    <col min="4" max="6" width="11.88671875" style="4" customWidth="1"/>
    <col min="7" max="7" width="12.33203125" style="4" customWidth="1"/>
    <col min="8" max="15" width="11.88671875" style="4" customWidth="1"/>
    <col min="16" max="16" width="1.6640625" style="4" customWidth="1"/>
    <col min="17" max="17" width="12.33203125" style="4" customWidth="1"/>
    <col min="18" max="20" width="12.6640625" style="4" customWidth="1"/>
    <col min="21" max="16384" width="9.109375" style="4"/>
  </cols>
  <sheetData>
    <row r="1" spans="1:20" ht="50.1" customHeight="1">
      <c r="A1" s="7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</row>
    <row r="2" spans="1:20" ht="15" customHeight="1"/>
    <row r="3" spans="1:20" ht="15" customHeight="1">
      <c r="B3" s="45" t="s">
        <v>16</v>
      </c>
      <c r="C3" s="44"/>
      <c r="D3" s="44"/>
      <c r="E3" s="43"/>
      <c r="F3" s="43"/>
      <c r="G3" s="42"/>
      <c r="H3" s="42"/>
      <c r="I3" s="42"/>
      <c r="J3" s="42"/>
      <c r="K3" s="42"/>
      <c r="L3" s="42"/>
      <c r="M3" s="42"/>
      <c r="N3" s="42"/>
      <c r="O3" s="42"/>
    </row>
    <row r="4" spans="1:20" ht="15" customHeight="1" outlineLevel="1"/>
    <row r="5" spans="1:20" ht="15" customHeight="1" outlineLevel="1" thickBot="1">
      <c r="B5" s="41" t="s">
        <v>15</v>
      </c>
      <c r="D5" s="40"/>
      <c r="E5" s="39"/>
      <c r="F5" s="39"/>
      <c r="G5" s="38"/>
      <c r="H5" s="37">
        <f>I5-1</f>
        <v>2020</v>
      </c>
      <c r="I5" s="37">
        <f>J5-1</f>
        <v>2021</v>
      </c>
      <c r="J5" s="37">
        <f>K5-1</f>
        <v>2022</v>
      </c>
      <c r="K5" s="36">
        <f>Inputs!$F$50</f>
        <v>2023</v>
      </c>
      <c r="L5" s="36">
        <f>K5+1</f>
        <v>2024</v>
      </c>
      <c r="M5" s="36">
        <f>L5+1</f>
        <v>2025</v>
      </c>
      <c r="N5" s="36">
        <f>M5+1</f>
        <v>2026</v>
      </c>
      <c r="O5" s="36">
        <f>N5+1</f>
        <v>2027</v>
      </c>
    </row>
    <row r="6" spans="1:20" ht="15" customHeight="1" outlineLevel="1">
      <c r="B6" s="2"/>
      <c r="C6" s="35"/>
      <c r="D6" s="2"/>
      <c r="E6" s="26"/>
      <c r="F6" s="26"/>
      <c r="G6" s="26"/>
      <c r="H6" s="34"/>
      <c r="I6" s="34"/>
      <c r="J6" s="34"/>
      <c r="K6" s="34"/>
      <c r="L6" s="34"/>
      <c r="M6" s="33"/>
      <c r="N6" s="32"/>
      <c r="O6" s="31"/>
    </row>
    <row r="7" spans="1:20" ht="15" customHeight="1" outlineLevel="1">
      <c r="B7" s="30" t="s">
        <v>14</v>
      </c>
      <c r="C7" s="2"/>
      <c r="D7" s="2"/>
      <c r="E7" s="29"/>
      <c r="F7" s="26"/>
      <c r="G7" s="26"/>
      <c r="H7" s="26"/>
      <c r="I7" s="26"/>
      <c r="J7" s="26"/>
      <c r="K7" s="26"/>
      <c r="L7" s="26"/>
      <c r="M7" s="28"/>
      <c r="N7" s="27"/>
      <c r="O7" s="2"/>
      <c r="Q7" s="1"/>
    </row>
    <row r="8" spans="1:20" s="6" customFormat="1" ht="15" customHeight="1" outlineLevel="1">
      <c r="A8" s="8"/>
      <c r="B8" s="2"/>
      <c r="C8" s="2"/>
      <c r="D8" s="26"/>
      <c r="E8" s="26"/>
      <c r="F8" s="26"/>
      <c r="G8" s="16"/>
      <c r="H8" s="16"/>
      <c r="I8" s="16"/>
      <c r="J8" s="16"/>
      <c r="K8" s="16"/>
      <c r="L8" s="16"/>
      <c r="M8" s="16"/>
      <c r="N8" s="16"/>
      <c r="O8" s="16"/>
      <c r="P8" s="16"/>
      <c r="Q8" s="4"/>
      <c r="R8" s="8"/>
    </row>
    <row r="9" spans="1:20" s="6" customFormat="1" ht="15" customHeight="1" outlineLevel="1">
      <c r="A9" s="8"/>
      <c r="B9" s="8"/>
      <c r="C9" s="21" t="s">
        <v>4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16"/>
      <c r="Q9" s="4"/>
      <c r="R9" s="8"/>
    </row>
    <row r="10" spans="1:20" s="6" customFormat="1" ht="6" customHeight="1" outlineLevel="1">
      <c r="A10" s="8"/>
      <c r="B10" s="8"/>
      <c r="C10" s="21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16"/>
      <c r="Q10" s="4"/>
      <c r="R10" s="8"/>
    </row>
    <row r="11" spans="1:20" s="6" customFormat="1" ht="15" customHeight="1" outlineLevel="1">
      <c r="A11" s="8"/>
      <c r="B11" s="8"/>
      <c r="C11" s="18" t="s">
        <v>13</v>
      </c>
      <c r="D11" s="8"/>
      <c r="E11" s="8"/>
      <c r="F11" s="8"/>
      <c r="G11" s="8"/>
      <c r="H11" s="20">
        <f>Model!F10</f>
        <v>50589</v>
      </c>
      <c r="I11" s="20">
        <f>Model!G10</f>
        <v>51647.864999999998</v>
      </c>
      <c r="J11" s="20">
        <f>Model!H10</f>
        <v>53760.85</v>
      </c>
      <c r="K11" s="20">
        <f>Model!I10</f>
        <v>56481.149010000008</v>
      </c>
      <c r="L11" s="20">
        <f>Model!J10</f>
        <v>57616.420105101002</v>
      </c>
      <c r="M11" s="20">
        <f>Model!K10</f>
        <v>58774.510149213551</v>
      </c>
      <c r="N11" s="20">
        <f>Model!L10</f>
        <v>59659.066526959199</v>
      </c>
      <c r="O11" s="20">
        <f>Model!M10</f>
        <v>60257.148668891954</v>
      </c>
      <c r="P11" s="16"/>
      <c r="Q11" s="4"/>
      <c r="R11" s="8"/>
    </row>
    <row r="12" spans="1:20" s="6" customFormat="1" ht="6" customHeight="1" outlineLevel="1">
      <c r="A12" s="8"/>
      <c r="B12" s="8"/>
      <c r="C12" s="18"/>
      <c r="D12" s="8"/>
      <c r="E12" s="8"/>
      <c r="F12" s="8"/>
      <c r="G12" s="8"/>
      <c r="H12" s="20"/>
      <c r="I12" s="20"/>
      <c r="J12" s="20"/>
      <c r="K12" s="20"/>
      <c r="L12" s="20"/>
      <c r="M12" s="20"/>
      <c r="N12" s="20"/>
      <c r="O12" s="20"/>
      <c r="P12" s="16"/>
      <c r="Q12" s="4"/>
      <c r="R12" s="8"/>
    </row>
    <row r="13" spans="1:20" s="6" customFormat="1" ht="15" customHeight="1" outlineLevel="1" thickBot="1">
      <c r="A13" s="8"/>
      <c r="B13" s="8"/>
      <c r="C13" s="18" t="s">
        <v>12</v>
      </c>
      <c r="D13" s="8"/>
      <c r="E13" s="8"/>
      <c r="F13" s="8"/>
      <c r="G13" s="8"/>
      <c r="H13" s="20">
        <f>Model!F17</f>
        <v>18403.7</v>
      </c>
      <c r="I13" s="20">
        <f>Model!G17</f>
        <v>18606.850599999998</v>
      </c>
      <c r="J13" s="20">
        <f>Model!H17</f>
        <v>19811.448499999999</v>
      </c>
      <c r="K13" s="20">
        <f>Model!I17</f>
        <v>21227.155446450011</v>
      </c>
      <c r="L13" s="20">
        <f>Model!J17</f>
        <v>21243.681244939937</v>
      </c>
      <c r="M13" s="20">
        <f>Model!K17</f>
        <v>21247.00027630799</v>
      </c>
      <c r="N13" s="20">
        <f>Model!L17</f>
        <v>21160.453730333866</v>
      </c>
      <c r="O13" s="20">
        <f>Model!M17</f>
        <v>20762.16380574982</v>
      </c>
      <c r="P13" s="16"/>
      <c r="Q13" s="4"/>
      <c r="R13" s="52" t="s">
        <v>19</v>
      </c>
      <c r="S13" s="51" t="s">
        <v>18</v>
      </c>
      <c r="T13" s="50" t="s">
        <v>17</v>
      </c>
    </row>
    <row r="14" spans="1:20" s="6" customFormat="1" ht="15" customHeight="1" outlineLevel="1">
      <c r="A14" s="8"/>
      <c r="B14" s="8"/>
      <c r="C14" s="23" t="s">
        <v>11</v>
      </c>
      <c r="D14" s="8"/>
      <c r="E14" s="8"/>
      <c r="F14" s="8"/>
      <c r="G14" s="8"/>
      <c r="H14" s="25">
        <f>Outputs!H12/Outputs!H10</f>
        <v>0.36378857063788572</v>
      </c>
      <c r="I14" s="25">
        <f>Outputs!I12/Outputs!I10</f>
        <v>0.36026369337822578</v>
      </c>
      <c r="J14" s="25">
        <f>Outputs!J12/Outputs!J10</f>
        <v>0.36851070063066338</v>
      </c>
      <c r="K14" s="25">
        <f>Outputs!K12/Outputs!K10</f>
        <v>0.37582725951081014</v>
      </c>
      <c r="L14" s="25">
        <f>Outputs!L12/Outputs!L10</f>
        <v>0.36870880221624797</v>
      </c>
      <c r="M14" s="25">
        <f>Outputs!M12/Outputs!M10</f>
        <v>0.36150025278589737</v>
      </c>
      <c r="N14" s="25">
        <f>Outputs!N12/Outputs!N10</f>
        <v>0.35468965510500766</v>
      </c>
      <c r="O14" s="25">
        <f>Outputs!O12/Outputs!O10</f>
        <v>0.34455934713798347</v>
      </c>
      <c r="P14" s="16"/>
      <c r="Q14" s="4"/>
      <c r="R14" s="54">
        <f>SUM(Outputs!H13:O13)</f>
        <v>0</v>
      </c>
      <c r="S14" s="53">
        <f>SUM(H14:O14)</f>
        <v>2.8978482814027213</v>
      </c>
      <c r="T14" s="47" cm="1">
        <f t="array" ref="T14">IF(SUM(ISBLANK(Outputs!H13:O13)*1)&gt;0,0,IF(R14=S14,1,0))</f>
        <v>0</v>
      </c>
    </row>
    <row r="15" spans="1:20" s="6" customFormat="1" ht="6" customHeight="1" outlineLevel="1">
      <c r="A15" s="8"/>
      <c r="B15" s="8"/>
      <c r="C15" s="23"/>
      <c r="D15" s="8"/>
      <c r="E15" s="8"/>
      <c r="F15" s="8"/>
      <c r="G15" s="8"/>
      <c r="H15" s="24"/>
      <c r="I15" s="24"/>
      <c r="J15" s="24"/>
      <c r="K15" s="24"/>
      <c r="L15" s="24"/>
      <c r="M15" s="24"/>
      <c r="N15" s="24"/>
      <c r="O15" s="24"/>
      <c r="P15" s="16"/>
      <c r="Q15" s="4"/>
      <c r="R15" s="8"/>
      <c r="S15" s="8"/>
      <c r="T15" s="8"/>
    </row>
    <row r="16" spans="1:20" s="6" customFormat="1" ht="15" customHeight="1" outlineLevel="1" thickBot="1">
      <c r="A16" s="8"/>
      <c r="B16" s="8"/>
      <c r="C16" s="18" t="s">
        <v>10</v>
      </c>
      <c r="D16" s="8"/>
      <c r="E16" s="8"/>
      <c r="F16" s="8"/>
      <c r="G16" s="8"/>
      <c r="H16" s="20">
        <f>Model!F34</f>
        <v>10800.7</v>
      </c>
      <c r="I16" s="20">
        <f>Model!G34</f>
        <v>10529.850599999998</v>
      </c>
      <c r="J16" s="20">
        <f>Model!H34</f>
        <v>11190.448499999999</v>
      </c>
      <c r="K16" s="20">
        <f ca="1">Model!I34</f>
        <v>10255.820479504599</v>
      </c>
      <c r="L16" s="20">
        <f ca="1">Model!J34</f>
        <v>9751.9117067571642</v>
      </c>
      <c r="M16" s="20">
        <f ca="1">Model!K34</f>
        <v>9764.4477647166241</v>
      </c>
      <c r="N16" s="20">
        <f ca="1">Model!L34</f>
        <v>9705.6750233857128</v>
      </c>
      <c r="O16" s="20">
        <f ca="1">Model!M34</f>
        <v>9383.7590208742622</v>
      </c>
      <c r="P16" s="16"/>
      <c r="Q16" s="4"/>
      <c r="R16" s="52" t="s">
        <v>19</v>
      </c>
      <c r="S16" s="51" t="s">
        <v>18</v>
      </c>
      <c r="T16" s="50" t="s">
        <v>17</v>
      </c>
    </row>
    <row r="17" spans="1:20" s="6" customFormat="1" ht="15" customHeight="1" outlineLevel="1">
      <c r="A17" s="8"/>
      <c r="B17" s="8"/>
      <c r="C17" s="23" t="s">
        <v>9</v>
      </c>
      <c r="D17" s="8"/>
      <c r="E17" s="8"/>
      <c r="F17" s="8"/>
      <c r="G17" s="8"/>
      <c r="H17" s="22">
        <f>Outputs!H15/Outputs!H10</f>
        <v>0.21349898199213269</v>
      </c>
      <c r="I17" s="22">
        <f>Outputs!I15/Outputs!I10</f>
        <v>0.2038777517715398</v>
      </c>
      <c r="J17" s="22">
        <f>Outputs!J15/Outputs!J10</f>
        <v>0.20815237296285305</v>
      </c>
      <c r="K17" s="22">
        <f ca="1">Outputs!K15/Outputs!K10</f>
        <v>0.18157952979477812</v>
      </c>
      <c r="L17" s="22">
        <f ca="1">Outputs!L15/Outputs!L10</f>
        <v>0.16925577272881953</v>
      </c>
      <c r="M17" s="22">
        <f ca="1">Outputs!M15/Outputs!M10</f>
        <v>0.16613405607170814</v>
      </c>
      <c r="N17" s="22">
        <f ca="1">Outputs!N15/Outputs!N10</f>
        <v>0.16268566688015204</v>
      </c>
      <c r="O17" s="22">
        <f ca="1">Outputs!O15/Outputs!O10</f>
        <v>0.15572856048063677</v>
      </c>
      <c r="P17" s="16"/>
      <c r="Q17" s="4"/>
      <c r="R17" s="54">
        <f>SUM(Outputs!H16:O16)</f>
        <v>0</v>
      </c>
      <c r="S17" s="53">
        <f ca="1">SUM(H17:O17)</f>
        <v>1.4609126926826201</v>
      </c>
      <c r="T17" s="47" cm="1">
        <f t="array" ref="T17">IF(SUM(ISBLANK(Outputs!H16:O16)*1)&gt;0,0,IF(R17=S17,1,0))</f>
        <v>0</v>
      </c>
    </row>
    <row r="18" spans="1:20" s="6" customFormat="1" ht="15" customHeight="1" outlineLevel="1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16"/>
      <c r="Q18" s="4"/>
      <c r="R18" s="8"/>
      <c r="S18" s="8"/>
      <c r="T18" s="8"/>
    </row>
    <row r="19" spans="1:20" s="6" customFormat="1" ht="15" customHeight="1" outlineLevel="1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16"/>
      <c r="Q19" s="4"/>
      <c r="R19" s="8"/>
      <c r="S19" s="8"/>
      <c r="T19" s="8"/>
    </row>
    <row r="20" spans="1:20" s="6" customFormat="1" ht="15" customHeight="1" outlineLevel="1">
      <c r="A20" s="8"/>
      <c r="B20" s="8"/>
      <c r="C20" s="21" t="s">
        <v>3</v>
      </c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16"/>
      <c r="Q20" s="4"/>
      <c r="R20" s="8"/>
      <c r="S20" s="8"/>
      <c r="T20" s="8"/>
    </row>
    <row r="21" spans="1:20" s="6" customFormat="1" ht="6" customHeight="1" outlineLevel="1">
      <c r="A21" s="8"/>
      <c r="B21" s="8"/>
      <c r="C21" s="21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16"/>
      <c r="Q21" s="4"/>
      <c r="R21" s="8"/>
      <c r="S21" s="8"/>
      <c r="T21" s="8"/>
    </row>
    <row r="22" spans="1:20" s="6" customFormat="1" ht="15" customHeight="1" outlineLevel="1">
      <c r="A22" s="8"/>
      <c r="B22" s="8"/>
      <c r="C22" s="18" t="s">
        <v>8</v>
      </c>
      <c r="D22" s="8"/>
      <c r="E22" s="8"/>
      <c r="F22" s="8"/>
      <c r="G22" s="8"/>
      <c r="H22" s="20">
        <f>Model!F51</f>
        <v>15655.7</v>
      </c>
      <c r="I22" s="20">
        <f>Model!G51</f>
        <v>16011.850599999998</v>
      </c>
      <c r="J22" s="20">
        <f>Model!H51</f>
        <v>17391.448499999999</v>
      </c>
      <c r="K22" s="20">
        <f ca="1">Model!I51</f>
        <v>16587.331861020353</v>
      </c>
      <c r="L22" s="20">
        <f ca="1">Model!J51</f>
        <v>16680.396342495853</v>
      </c>
      <c r="M22" s="20">
        <f ca="1">Model!K51</f>
        <v>16856.460466188822</v>
      </c>
      <c r="N22" s="20">
        <f ca="1">Model!L51</f>
        <v>17009.384942480039</v>
      </c>
      <c r="O22" s="20">
        <f ca="1">Model!M51</f>
        <v>16934.493183661154</v>
      </c>
      <c r="P22" s="16"/>
      <c r="Q22" s="4"/>
      <c r="R22" s="8"/>
      <c r="S22" s="8"/>
      <c r="T22" s="8"/>
    </row>
    <row r="23" spans="1:20" s="6" customFormat="1" ht="15" customHeight="1" outlineLevel="1">
      <c r="A23" s="8"/>
      <c r="B23" s="8"/>
      <c r="C23" s="18" t="s">
        <v>7</v>
      </c>
      <c r="D23" s="8"/>
      <c r="E23" s="8"/>
      <c r="F23" s="8"/>
      <c r="G23" s="8"/>
      <c r="H23" s="20">
        <f>Model!F56</f>
        <v>-9014.9999999999927</v>
      </c>
      <c r="I23" s="20">
        <f>Model!G56</f>
        <v>-11733.000000000005</v>
      </c>
      <c r="J23" s="20">
        <f>Model!H56</f>
        <v>-11130</v>
      </c>
      <c r="K23" s="20">
        <f>Model!I56</f>
        <v>-25475</v>
      </c>
      <c r="L23" s="20">
        <f>Model!J56</f>
        <v>-7050</v>
      </c>
      <c r="M23" s="20">
        <f>Model!K56</f>
        <v>-7275</v>
      </c>
      <c r="N23" s="20">
        <f>Model!L56</f>
        <v>-7200</v>
      </c>
      <c r="O23" s="20">
        <f>Model!M56</f>
        <v>-7687.5</v>
      </c>
      <c r="P23" s="16"/>
      <c r="Q23" s="4"/>
      <c r="R23" s="8"/>
      <c r="S23" s="8"/>
      <c r="T23" s="8"/>
    </row>
    <row r="24" spans="1:20" s="6" customFormat="1" ht="15" customHeight="1" outlineLevel="1" thickBot="1">
      <c r="A24" s="8"/>
      <c r="B24" s="8"/>
      <c r="C24" s="18" t="s">
        <v>6</v>
      </c>
      <c r="D24" s="8"/>
      <c r="E24" s="8"/>
      <c r="F24" s="8"/>
      <c r="G24" s="8"/>
      <c r="H24" s="19">
        <f>Model!F64</f>
        <v>-3465</v>
      </c>
      <c r="I24" s="19">
        <f>Model!G64</f>
        <v>-7761</v>
      </c>
      <c r="J24" s="19">
        <f>Model!H64</f>
        <v>-7216</v>
      </c>
      <c r="K24" s="19">
        <f ca="1">Model!I64</f>
        <v>477.66903897964994</v>
      </c>
      <c r="L24" s="19">
        <f ca="1">Model!J64</f>
        <v>-9630.3963424958529</v>
      </c>
      <c r="M24" s="19">
        <f ca="1">Model!K64</f>
        <v>-9581.4604661888225</v>
      </c>
      <c r="N24" s="19">
        <f ca="1">Model!L64</f>
        <v>-9161.3832251677941</v>
      </c>
      <c r="O24" s="19">
        <f ca="1">Model!M64</f>
        <v>-6876.7518041748526</v>
      </c>
      <c r="P24" s="16"/>
      <c r="Q24" s="4"/>
      <c r="R24" s="52" t="s">
        <v>19</v>
      </c>
      <c r="S24" s="51" t="s">
        <v>18</v>
      </c>
      <c r="T24" s="50" t="s">
        <v>17</v>
      </c>
    </row>
    <row r="25" spans="1:20" s="6" customFormat="1" ht="15" customHeight="1" outlineLevel="1">
      <c r="A25" s="8"/>
      <c r="B25" s="8"/>
      <c r="C25" s="18" t="s">
        <v>5</v>
      </c>
      <c r="D25" s="8"/>
      <c r="E25" s="8"/>
      <c r="F25" s="8"/>
      <c r="G25" s="8"/>
      <c r="H25" s="17">
        <f>SUM(Outputs!H21:H23)</f>
        <v>3175.700000000008</v>
      </c>
      <c r="I25" s="17">
        <f>SUM(Outputs!I21:I23)</f>
        <v>-3482.1494000000075</v>
      </c>
      <c r="J25" s="17">
        <f>SUM(Outputs!J21:J23)</f>
        <v>-954.5515000000014</v>
      </c>
      <c r="K25" s="17">
        <f ca="1">SUM(Outputs!K21:K23)</f>
        <v>-8409.9990999999973</v>
      </c>
      <c r="L25" s="17">
        <f ca="1">SUM(Outputs!L21:L23)</f>
        <v>0</v>
      </c>
      <c r="M25" s="17">
        <f ca="1">SUM(Outputs!M21:M23)</f>
        <v>0</v>
      </c>
      <c r="N25" s="17">
        <f ca="1">SUM(Outputs!N21:N23)</f>
        <v>648.00171731224509</v>
      </c>
      <c r="O25" s="17">
        <f ca="1">SUM(Outputs!O21:O23)</f>
        <v>2370.2413794863014</v>
      </c>
      <c r="P25" s="16"/>
      <c r="Q25" s="4"/>
      <c r="R25" s="49">
        <f>SUM(Outputs!H24:O24)</f>
        <v>0</v>
      </c>
      <c r="S25" s="48">
        <f ca="1">SUM(H25:O25)</f>
        <v>-6652.7569032014517</v>
      </c>
      <c r="T25" s="47" cm="1">
        <f t="array" ref="T25">IF(SUM(ISBLANK(Outputs!H24:O24)*1)&gt;0,0,IF(R25=S25,1,0))</f>
        <v>0</v>
      </c>
    </row>
    <row r="26" spans="1:20" s="6" customFormat="1" ht="15" customHeight="1" outlineLevel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4"/>
      <c r="R26" s="8"/>
    </row>
    <row r="27" spans="1:20" s="6" customFormat="1" outlineLevel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4"/>
      <c r="R27" s="8"/>
    </row>
    <row r="28" spans="1:20" s="6" customFormat="1" outlineLevel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4"/>
      <c r="R28" s="8"/>
    </row>
    <row r="29" spans="1:20" s="10" customFormat="1" outlineLevel="1">
      <c r="A29" s="11"/>
      <c r="B29" s="11"/>
      <c r="C29" s="13" t="s">
        <v>4</v>
      </c>
      <c r="D29" s="13"/>
      <c r="E29" s="13"/>
      <c r="F29" s="15"/>
      <c r="G29" s="14"/>
      <c r="H29" s="12"/>
      <c r="J29" s="13" t="s">
        <v>3</v>
      </c>
      <c r="K29" s="13"/>
      <c r="L29" s="13"/>
      <c r="M29" s="13"/>
      <c r="N29" s="12"/>
      <c r="O29" s="12"/>
      <c r="P29" s="11"/>
      <c r="Q29" s="4"/>
      <c r="R29" s="11"/>
    </row>
    <row r="30" spans="1:20" s="6" customFormat="1" outlineLevel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4"/>
      <c r="R30" s="8"/>
    </row>
    <row r="31" spans="1:20" s="6" customFormat="1" outlineLevel="1">
      <c r="A31" s="8"/>
      <c r="B31" s="8"/>
      <c r="C31" s="8"/>
      <c r="D31" s="8"/>
      <c r="E31" s="8"/>
      <c r="F31" s="8"/>
      <c r="G31" s="8"/>
      <c r="H31" s="8"/>
      <c r="I31" s="8"/>
      <c r="L31" s="8"/>
      <c r="M31" s="8"/>
      <c r="N31" s="8"/>
      <c r="O31" s="8"/>
      <c r="P31" s="8"/>
      <c r="Q31" s="4"/>
      <c r="R31" s="8"/>
    </row>
    <row r="32" spans="1:20" s="6" customFormat="1" outlineLevel="1">
      <c r="A32" s="8"/>
      <c r="B32" s="8"/>
      <c r="C32" s="8"/>
      <c r="D32" s="8"/>
      <c r="E32" s="8"/>
      <c r="F32" s="8"/>
      <c r="G32" s="8"/>
      <c r="H32" s="8"/>
      <c r="I32" s="9"/>
      <c r="J32" s="8"/>
      <c r="K32" s="8"/>
      <c r="L32" s="8"/>
      <c r="M32" s="8"/>
      <c r="N32" s="8"/>
      <c r="O32" s="8"/>
      <c r="P32" s="8"/>
      <c r="Q32" s="4"/>
      <c r="R32" s="8"/>
    </row>
    <row r="33" spans="1:18" s="6" customFormat="1" outlineLevel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4"/>
      <c r="R33" s="8"/>
    </row>
    <row r="34" spans="1:18" s="6" customFormat="1" outlineLevel="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4"/>
      <c r="R34" s="8"/>
    </row>
    <row r="35" spans="1:18" s="6" customFormat="1" outlineLevel="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4"/>
      <c r="R35" s="8"/>
    </row>
    <row r="36" spans="1:18" s="6" customFormat="1" outlineLevel="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4"/>
      <c r="R36" s="8"/>
    </row>
    <row r="37" spans="1:18" s="6" customFormat="1" outlineLevel="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4"/>
      <c r="R37" s="8"/>
    </row>
    <row r="38" spans="1:18" s="6" customFormat="1" outlineLevel="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4"/>
      <c r="R38" s="8"/>
    </row>
    <row r="39" spans="1:18" s="6" customFormat="1" outlineLevel="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4"/>
      <c r="R39" s="8"/>
    </row>
    <row r="40" spans="1:18" s="6" customFormat="1" outlineLevel="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4"/>
      <c r="R40" s="8"/>
    </row>
    <row r="41" spans="1:18" s="6" customFormat="1" outlineLevel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4"/>
      <c r="R41" s="8"/>
    </row>
    <row r="42" spans="1:18" s="6" customFormat="1" outlineLevel="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4"/>
      <c r="R42" s="8"/>
    </row>
    <row r="43" spans="1:18" s="6" customFormat="1" outlineLevel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4"/>
      <c r="R43" s="8"/>
    </row>
    <row r="44" spans="1:18" s="6" customFormat="1" ht="16.5" customHeight="1" outlineLevel="1">
      <c r="A44" s="8"/>
      <c r="B44" s="8"/>
      <c r="C44" s="8"/>
      <c r="D44" s="9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4"/>
      <c r="R44" s="8"/>
    </row>
    <row r="45" spans="1:18" s="6" customFormat="1" outlineLevel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4"/>
      <c r="R45" s="8"/>
    </row>
    <row r="46" spans="1:18" s="6" customFormat="1" outlineLevel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4"/>
      <c r="R46" s="8"/>
    </row>
    <row r="47" spans="1:18" s="6" customFormat="1" outlineLevel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4"/>
      <c r="R47" s="8"/>
    </row>
    <row r="48" spans="1:18" s="6" customFormat="1" outlineLevel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4"/>
      <c r="R48" s="7"/>
    </row>
    <row r="49" spans="2:15" outlineLevel="1"/>
    <row r="50" spans="2:15" outlineLevel="1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 t="s">
        <v>0</v>
      </c>
    </row>
  </sheetData>
  <conditionalFormatting sqref="H6:O7">
    <cfRule type="containsText" dxfId="28" priority="1" operator="containsText" text="OK">
      <formula>NOT(ISERROR(SEARCH("OK",H6)))</formula>
    </cfRule>
    <cfRule type="containsText" dxfId="27" priority="2" operator="containsText" text="ERROR">
      <formula>NOT(ISERROR(SEARCH("ERROR",H6)))</formula>
    </cfRule>
  </conditionalFormatting>
  <printOptions horizontalCentered="1"/>
  <pageMargins left="0.11811023622047245" right="0.11811023622047245" top="0.11811023622047245" bottom="0.11811023622047245" header="0.11811023622047245" footer="0.11811023622047245"/>
  <pageSetup scale="85" orientation="landscape" r:id="rId1"/>
  <headerFooter alignWithMargins="0">
    <oddFooter>&amp;L&amp;"Open Sans,Bold"&amp;10 &amp;K0020603-Statement Modeling&amp;C&amp;"Open Sans,Bold"&amp;10&amp;K002060Page &amp;P of &amp;N&amp;R&amp;G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5" name="Drop Down 1">
              <controlPr defaultSize="0" autoLine="0" autoPict="0">
                <anchor moveWithCells="1" sizeWithCells="1">
                  <from>
                    <xdr:col>3</xdr:col>
                    <xdr:colOff>487680</xdr:colOff>
                    <xdr:row>6</xdr:row>
                    <xdr:rowOff>0</xdr:rowOff>
                  </from>
                  <to>
                    <xdr:col>5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CD654-190A-482B-96DA-E2F35F92BFEF}">
  <sheetPr>
    <pageSetUpPr autoPageBreaks="0"/>
  </sheetPr>
  <dimension ref="A1:M65"/>
  <sheetViews>
    <sheetView showGridLines="0" zoomScaleNormal="100" zoomScaleSheetLayoutView="95" workbookViewId="0">
      <pane ySplit="1" topLeftCell="A2" activePane="bottomLeft" state="frozen"/>
      <selection activeCell="R427" sqref="R427"/>
      <selection pane="bottomLeft" activeCell="H13" sqref="H13"/>
    </sheetView>
  </sheetViews>
  <sheetFormatPr defaultColWidth="9.109375" defaultRowHeight="15" customHeight="1" outlineLevelRow="1"/>
  <cols>
    <col min="1" max="1" width="9.109375" style="386"/>
    <col min="2" max="2" width="1.6640625" style="386" customWidth="1"/>
    <col min="3" max="3" width="12.88671875" style="386" customWidth="1"/>
    <col min="4" max="6" width="11.88671875" style="386" customWidth="1"/>
    <col min="7" max="7" width="12.33203125" style="386" bestFit="1" customWidth="1"/>
    <col min="8" max="12" width="11.88671875" style="386" customWidth="1"/>
    <col min="13" max="13" width="1.6640625" style="386" customWidth="1"/>
    <col min="14" max="16384" width="9.109375" style="386"/>
  </cols>
  <sheetData>
    <row r="1" spans="1:13" ht="15" customHeight="1">
      <c r="A1" s="390" t="s">
        <v>0</v>
      </c>
      <c r="B1" s="408" t="s">
        <v>60</v>
      </c>
      <c r="C1" s="409"/>
      <c r="D1" s="409"/>
      <c r="E1" s="409"/>
      <c r="F1" s="409"/>
      <c r="G1" s="410"/>
      <c r="H1" s="411"/>
      <c r="I1" s="411"/>
      <c r="J1" s="411"/>
      <c r="K1" s="411"/>
      <c r="L1" s="411"/>
      <c r="M1" s="416"/>
    </row>
    <row r="2" spans="1:13" ht="15" customHeight="1" outlineLevel="1">
      <c r="A2" s="390"/>
      <c r="B2" s="413"/>
      <c r="D2" s="402"/>
      <c r="E2" s="414"/>
      <c r="F2" s="414"/>
      <c r="G2" s="415"/>
      <c r="H2" s="415"/>
      <c r="I2" s="415"/>
      <c r="J2" s="415"/>
      <c r="K2" s="415"/>
      <c r="L2" s="415"/>
      <c r="M2" s="415"/>
    </row>
    <row r="3" spans="1:13" ht="15" customHeight="1" outlineLevel="1" thickBot="1">
      <c r="A3" s="390"/>
      <c r="B3" s="417" t="s">
        <v>15</v>
      </c>
      <c r="D3" s="402"/>
      <c r="E3" s="404"/>
      <c r="F3" s="404"/>
      <c r="G3" s="642"/>
      <c r="H3" s="419">
        <f>Inputs!$F$50</f>
        <v>2023</v>
      </c>
      <c r="I3" s="419">
        <f>H3+1</f>
        <v>2024</v>
      </c>
      <c r="J3" s="419">
        <f>I3+1</f>
        <v>2025</v>
      </c>
      <c r="K3" s="419">
        <f>J3+1</f>
        <v>2026</v>
      </c>
      <c r="L3" s="419">
        <f>K3+1</f>
        <v>2027</v>
      </c>
    </row>
    <row r="4" spans="1:13" ht="15" customHeight="1" outlineLevel="1">
      <c r="C4" s="476"/>
      <c r="E4" s="639"/>
      <c r="F4" s="639"/>
      <c r="G4" s="639"/>
      <c r="H4" s="639"/>
      <c r="I4" s="639"/>
      <c r="J4" s="643"/>
      <c r="K4" s="644"/>
    </row>
    <row r="5" spans="1:13" ht="15" customHeight="1" outlineLevel="1">
      <c r="B5" s="433" t="s">
        <v>14</v>
      </c>
      <c r="E5" s="645">
        <v>2</v>
      </c>
      <c r="F5" s="639"/>
      <c r="G5" s="639"/>
      <c r="H5" s="639"/>
      <c r="I5" s="639"/>
      <c r="J5" s="643"/>
      <c r="K5" s="644"/>
    </row>
    <row r="6" spans="1:13" ht="15" customHeight="1" outlineLevel="1">
      <c r="D6" s="639"/>
      <c r="E6" s="639"/>
      <c r="F6" s="639"/>
      <c r="G6" s="639"/>
      <c r="H6" s="639"/>
      <c r="I6" s="643"/>
      <c r="J6" s="644"/>
      <c r="M6" s="395"/>
    </row>
    <row r="7" spans="1:13" ht="15" customHeight="1" outlineLevel="1">
      <c r="D7" s="639"/>
      <c r="E7" s="639"/>
      <c r="F7" s="639"/>
      <c r="G7" s="639"/>
      <c r="H7" s="639"/>
      <c r="I7" s="643"/>
      <c r="J7" s="644"/>
    </row>
    <row r="8" spans="1:13" ht="15" customHeight="1" outlineLevel="1">
      <c r="B8" s="433" t="s">
        <v>59</v>
      </c>
      <c r="E8" s="640"/>
      <c r="F8" s="640"/>
      <c r="G8" s="640"/>
      <c r="H8" s="646" cm="1">
        <f t="array" ref="H8">INDEX(H10:H12,$E$5)</f>
        <v>0.02</v>
      </c>
      <c r="I8" s="647" cm="1">
        <f t="array" ref="I8">INDEX(I10:I12,$E$5)</f>
        <v>0.01</v>
      </c>
      <c r="J8" s="647" cm="1">
        <f t="array" ref="J8">INDEX(J10:J12,$E$5)</f>
        <v>0.01</v>
      </c>
      <c r="K8" s="647" cm="1">
        <f t="array" ref="K8">INDEX(K10:K12,$E$5)</f>
        <v>5.0000000000000001E-3</v>
      </c>
      <c r="L8" s="648" cm="1">
        <f t="array" ref="L8">INDEX(L10:L12,$E$5)</f>
        <v>5.0000000000000001E-3</v>
      </c>
    </row>
    <row r="9" spans="1:13" ht="15" customHeight="1" outlineLevel="1">
      <c r="D9" s="639"/>
      <c r="E9" s="639"/>
      <c r="F9" s="639"/>
      <c r="G9" s="639"/>
      <c r="H9" s="649"/>
      <c r="I9" s="650"/>
      <c r="J9" s="651"/>
      <c r="K9" s="652"/>
      <c r="L9" s="652"/>
    </row>
    <row r="10" spans="1:13" ht="15" customHeight="1" outlineLevel="1">
      <c r="B10" s="653" t="s">
        <v>58</v>
      </c>
      <c r="D10" s="654"/>
      <c r="E10" s="639"/>
      <c r="F10" s="639"/>
      <c r="G10" s="639"/>
      <c r="H10" s="655">
        <v>0.03</v>
      </c>
      <c r="I10" s="656">
        <v>0.02</v>
      </c>
      <c r="J10" s="656">
        <v>0.02</v>
      </c>
      <c r="K10" s="656">
        <v>1.4999999999999999E-2</v>
      </c>
      <c r="L10" s="657">
        <v>1.4999999999999999E-2</v>
      </c>
    </row>
    <row r="11" spans="1:13" ht="15" customHeight="1" outlineLevel="1">
      <c r="B11" s="653" t="s">
        <v>57</v>
      </c>
      <c r="D11" s="639"/>
      <c r="E11" s="639"/>
      <c r="F11" s="639"/>
      <c r="G11" s="639"/>
      <c r="H11" s="658">
        <v>0.02</v>
      </c>
      <c r="I11" s="659">
        <v>0.01</v>
      </c>
      <c r="J11" s="659">
        <v>0.01</v>
      </c>
      <c r="K11" s="659">
        <v>5.0000000000000001E-3</v>
      </c>
      <c r="L11" s="660">
        <v>5.0000000000000001E-3</v>
      </c>
    </row>
    <row r="12" spans="1:13" ht="15" customHeight="1" outlineLevel="1">
      <c r="B12" s="653" t="s">
        <v>56</v>
      </c>
      <c r="D12" s="639"/>
      <c r="E12" s="639"/>
      <c r="F12" s="639"/>
      <c r="G12" s="639"/>
      <c r="H12" s="661">
        <v>0.01</v>
      </c>
      <c r="I12" s="662">
        <v>0.01</v>
      </c>
      <c r="J12" s="662">
        <v>5.0000000000000001E-3</v>
      </c>
      <c r="K12" s="662">
        <v>5.0000000000000001E-3</v>
      </c>
      <c r="L12" s="663">
        <v>5.0000000000000001E-3</v>
      </c>
    </row>
    <row r="13" spans="1:13" ht="15" customHeight="1" outlineLevel="1">
      <c r="B13" s="476"/>
      <c r="D13" s="664"/>
      <c r="E13" s="664"/>
      <c r="F13" s="664"/>
      <c r="G13" s="664"/>
      <c r="H13" s="649"/>
      <c r="I13" s="665"/>
      <c r="J13" s="651"/>
      <c r="K13" s="652"/>
      <c r="L13" s="652"/>
    </row>
    <row r="14" spans="1:13" ht="15" customHeight="1" outlineLevel="1">
      <c r="B14" s="476"/>
      <c r="D14" s="664"/>
      <c r="E14" s="664"/>
      <c r="F14" s="664"/>
      <c r="G14" s="664"/>
      <c r="H14" s="649"/>
      <c r="I14" s="665"/>
      <c r="J14" s="651"/>
      <c r="K14" s="652"/>
      <c r="L14" s="652"/>
    </row>
    <row r="15" spans="1:13" ht="15" customHeight="1" outlineLevel="1">
      <c r="B15" s="433" t="s">
        <v>55</v>
      </c>
      <c r="D15" s="664"/>
      <c r="E15" s="664"/>
      <c r="F15" s="664"/>
      <c r="G15" s="664"/>
      <c r="H15" s="646" cm="1">
        <f t="array" ref="H15">INDEX(H17:H19,$E$5)</f>
        <v>0.03</v>
      </c>
      <c r="I15" s="647" cm="1">
        <f t="array" ref="I15">INDEX(I17:I19,$E$5)</f>
        <v>0.01</v>
      </c>
      <c r="J15" s="647" cm="1">
        <f t="array" ref="J15">INDEX(J17:J19,$E$5)</f>
        <v>0.01</v>
      </c>
      <c r="K15" s="647" cm="1">
        <f t="array" ref="K15">INDEX(K17:K19,$E$5)</f>
        <v>0.01</v>
      </c>
      <c r="L15" s="648" cm="1">
        <f t="array" ref="L15">INDEX(L17:L19,$E$5)</f>
        <v>5.0000000000000001E-3</v>
      </c>
    </row>
    <row r="16" spans="1:13" ht="15" customHeight="1" outlineLevel="1">
      <c r="B16" s="476"/>
      <c r="D16" s="664"/>
      <c r="E16" s="664"/>
      <c r="F16" s="664"/>
      <c r="G16" s="664"/>
      <c r="H16" s="666"/>
      <c r="I16" s="667"/>
      <c r="J16" s="668"/>
      <c r="K16" s="669"/>
      <c r="L16" s="669"/>
    </row>
    <row r="17" spans="1:13" ht="15" customHeight="1" outlineLevel="1">
      <c r="B17" s="670" t="str">
        <f>$B$10</f>
        <v>Best Case</v>
      </c>
      <c r="D17" s="639"/>
      <c r="E17" s="639"/>
      <c r="F17" s="639"/>
      <c r="G17" s="639"/>
      <c r="H17" s="655">
        <v>3.5000000000000003E-2</v>
      </c>
      <c r="I17" s="656">
        <v>0.02</v>
      </c>
      <c r="J17" s="656">
        <v>0.02</v>
      </c>
      <c r="K17" s="656">
        <v>0.02</v>
      </c>
      <c r="L17" s="657">
        <v>1.4999999999999999E-2</v>
      </c>
    </row>
    <row r="18" spans="1:13" ht="15" customHeight="1" outlineLevel="1">
      <c r="B18" s="670" t="str">
        <f>$B$11</f>
        <v>Base Case</v>
      </c>
      <c r="D18" s="639"/>
      <c r="E18" s="639"/>
      <c r="F18" s="639"/>
      <c r="G18" s="639"/>
      <c r="H18" s="658">
        <v>0.03</v>
      </c>
      <c r="I18" s="659">
        <v>0.01</v>
      </c>
      <c r="J18" s="659">
        <v>0.01</v>
      </c>
      <c r="K18" s="659">
        <v>0.01</v>
      </c>
      <c r="L18" s="660">
        <v>5.0000000000000001E-3</v>
      </c>
      <c r="M18" s="474"/>
    </row>
    <row r="19" spans="1:13" ht="15" customHeight="1" outlineLevel="1">
      <c r="B19" s="670" t="str">
        <f>$B$12</f>
        <v>Worst Case</v>
      </c>
      <c r="D19" s="639"/>
      <c r="E19" s="639"/>
      <c r="F19" s="639"/>
      <c r="G19" s="639"/>
      <c r="H19" s="661">
        <v>0.01</v>
      </c>
      <c r="I19" s="662">
        <v>0.01</v>
      </c>
      <c r="J19" s="662">
        <v>5.0000000000000001E-3</v>
      </c>
      <c r="K19" s="662">
        <v>5.0000000000000001E-3</v>
      </c>
      <c r="L19" s="663">
        <v>5.0000000000000001E-3</v>
      </c>
    </row>
    <row r="20" spans="1:13" ht="15" customHeight="1" outlineLevel="1">
      <c r="B20" s="671"/>
      <c r="D20" s="671"/>
      <c r="E20" s="671"/>
      <c r="F20" s="671"/>
      <c r="G20" s="671"/>
      <c r="H20" s="671"/>
      <c r="I20" s="671"/>
      <c r="J20" s="671"/>
      <c r="K20" s="671"/>
      <c r="L20" s="671"/>
      <c r="M20" s="671"/>
    </row>
    <row r="21" spans="1:13" ht="15" customHeight="1" outlineLevel="1">
      <c r="B21" s="671"/>
      <c r="D21" s="671"/>
      <c r="E21" s="671"/>
      <c r="F21" s="671"/>
      <c r="G21" s="671"/>
      <c r="H21" s="671"/>
      <c r="I21" s="671"/>
      <c r="J21" s="671"/>
      <c r="K21" s="671"/>
      <c r="L21" s="671"/>
      <c r="M21" s="671"/>
    </row>
    <row r="22" spans="1:13" ht="15" customHeight="1" outlineLevel="1">
      <c r="B22" s="433" t="s">
        <v>54</v>
      </c>
      <c r="D22" s="664"/>
      <c r="E22" s="664"/>
      <c r="F22" s="664"/>
      <c r="G22" s="664"/>
      <c r="H22" s="672" cm="1">
        <f t="array" ref="H22">INDEX(H24:H26,$E$5)</f>
        <v>25475</v>
      </c>
      <c r="I22" s="673" cm="1">
        <f t="array" ref="I22">INDEX(I24:I26,$E$5)</f>
        <v>7050</v>
      </c>
      <c r="J22" s="673" cm="1">
        <f t="array" ref="J22">INDEX(J24:J26,$E$5)</f>
        <v>7275</v>
      </c>
      <c r="K22" s="673" cm="1">
        <f t="array" ref="K22">INDEX(K24:K26,$E$5)</f>
        <v>7200</v>
      </c>
      <c r="L22" s="674" cm="1">
        <f t="array" ref="L22">INDEX(L24:L26,$E$5)</f>
        <v>7687.5</v>
      </c>
      <c r="M22" s="671"/>
    </row>
    <row r="23" spans="1:13" ht="15" customHeight="1" outlineLevel="1">
      <c r="B23" s="476"/>
      <c r="D23" s="664"/>
      <c r="E23" s="664"/>
      <c r="F23" s="664"/>
      <c r="G23" s="664"/>
      <c r="H23" s="675"/>
      <c r="I23" s="676"/>
      <c r="J23" s="677"/>
      <c r="K23" s="678"/>
      <c r="L23" s="678"/>
      <c r="M23" s="671"/>
    </row>
    <row r="24" spans="1:13" ht="15" customHeight="1" outlineLevel="1">
      <c r="B24" s="670" t="str">
        <f>$B$10</f>
        <v>Best Case</v>
      </c>
      <c r="D24" s="639"/>
      <c r="E24" s="639"/>
      <c r="F24" s="664"/>
      <c r="G24" s="639"/>
      <c r="H24" s="679">
        <v>23000</v>
      </c>
      <c r="I24" s="680">
        <v>6450</v>
      </c>
      <c r="J24" s="680">
        <v>6600</v>
      </c>
      <c r="K24" s="680">
        <v>6900</v>
      </c>
      <c r="L24" s="681">
        <v>7200</v>
      </c>
      <c r="M24" s="671"/>
    </row>
    <row r="25" spans="1:13" ht="15" customHeight="1" outlineLevel="1">
      <c r="B25" s="670" t="str">
        <f>$B$11</f>
        <v>Base Case</v>
      </c>
      <c r="D25" s="639"/>
      <c r="E25" s="639"/>
      <c r="F25" s="639"/>
      <c r="G25" s="639"/>
      <c r="H25" s="682">
        <v>25475</v>
      </c>
      <c r="I25" s="683">
        <v>7050</v>
      </c>
      <c r="J25" s="683">
        <v>7275</v>
      </c>
      <c r="K25" s="683">
        <v>7200</v>
      </c>
      <c r="L25" s="684">
        <v>7687.5</v>
      </c>
      <c r="M25" s="671"/>
    </row>
    <row r="26" spans="1:13" ht="15" customHeight="1" outlineLevel="1">
      <c r="B26" s="670" t="str">
        <f>$B$12</f>
        <v>Worst Case</v>
      </c>
      <c r="D26" s="639"/>
      <c r="E26" s="639"/>
      <c r="F26" s="639"/>
      <c r="G26" s="639"/>
      <c r="H26" s="685">
        <v>27500</v>
      </c>
      <c r="I26" s="686">
        <v>7800</v>
      </c>
      <c r="J26" s="686">
        <v>8100</v>
      </c>
      <c r="K26" s="686">
        <v>8250</v>
      </c>
      <c r="L26" s="687">
        <v>8400</v>
      </c>
      <c r="M26" s="671"/>
    </row>
    <row r="27" spans="1:13" ht="15" customHeight="1" outlineLevel="1">
      <c r="C27" s="476"/>
      <c r="D27" s="664"/>
      <c r="E27" s="664"/>
      <c r="F27" s="664"/>
      <c r="G27" s="664"/>
      <c r="H27" s="688"/>
      <c r="I27" s="688"/>
      <c r="J27" s="688"/>
      <c r="K27" s="688"/>
      <c r="L27" s="688"/>
      <c r="M27" s="671"/>
    </row>
    <row r="28" spans="1:13" ht="15" customHeight="1" outlineLevel="1">
      <c r="C28" s="476"/>
      <c r="D28" s="664"/>
      <c r="E28" s="664"/>
      <c r="F28" s="664"/>
      <c r="G28" s="664"/>
      <c r="H28" s="688"/>
      <c r="I28" s="688"/>
      <c r="J28" s="688"/>
      <c r="K28" s="688"/>
      <c r="L28" s="688"/>
    </row>
    <row r="29" spans="1:13" ht="15" customHeight="1" outlineLevel="1">
      <c r="B29" s="392"/>
      <c r="C29" s="689"/>
      <c r="D29" s="689"/>
      <c r="E29" s="689"/>
      <c r="F29" s="689"/>
      <c r="G29" s="689"/>
      <c r="H29" s="689"/>
      <c r="I29" s="690"/>
      <c r="J29" s="690"/>
      <c r="K29" s="690"/>
      <c r="L29" s="690"/>
      <c r="M29" s="392"/>
    </row>
    <row r="30" spans="1:13" ht="15" customHeight="1">
      <c r="C30" s="639"/>
      <c r="D30" s="639"/>
      <c r="E30" s="639"/>
      <c r="F30" s="639"/>
      <c r="G30" s="639"/>
      <c r="H30" s="639"/>
      <c r="I30" s="691"/>
      <c r="J30" s="691"/>
      <c r="K30" s="691"/>
      <c r="L30" s="691"/>
    </row>
    <row r="31" spans="1:13" ht="15" customHeight="1">
      <c r="A31" s="390" t="s">
        <v>0</v>
      </c>
      <c r="B31" s="408" t="s">
        <v>53</v>
      </c>
      <c r="C31" s="409"/>
      <c r="D31" s="409"/>
      <c r="E31" s="410"/>
      <c r="F31" s="410"/>
      <c r="G31" s="411"/>
      <c r="H31" s="411"/>
      <c r="I31" s="411"/>
      <c r="J31" s="411"/>
      <c r="K31" s="411"/>
      <c r="L31" s="411"/>
    </row>
    <row r="32" spans="1:13" ht="15" customHeight="1" outlineLevel="1">
      <c r="A32" s="390"/>
      <c r="B32" s="417"/>
      <c r="D32" s="635"/>
      <c r="E32" s="635"/>
      <c r="F32" s="635"/>
      <c r="G32" s="635"/>
      <c r="H32" s="636"/>
      <c r="I32" s="637"/>
      <c r="J32" s="637"/>
      <c r="K32" s="637"/>
      <c r="L32" s="637"/>
    </row>
    <row r="33" spans="1:13" ht="15" customHeight="1" outlineLevel="1" thickBot="1">
      <c r="A33" s="390"/>
      <c r="B33" s="417" t="s">
        <v>15</v>
      </c>
      <c r="D33" s="402"/>
      <c r="E33" s="404"/>
      <c r="F33" s="404"/>
      <c r="G33" s="642"/>
      <c r="H33" s="419">
        <f>Inputs!$F$50</f>
        <v>2023</v>
      </c>
      <c r="I33" s="419">
        <f>H33+1</f>
        <v>2024</v>
      </c>
      <c r="J33" s="419">
        <f>I33+1</f>
        <v>2025</v>
      </c>
      <c r="K33" s="419">
        <f>J33+1</f>
        <v>2026</v>
      </c>
      <c r="L33" s="419">
        <f>K33+1</f>
        <v>2027</v>
      </c>
    </row>
    <row r="34" spans="1:13" ht="15" customHeight="1" outlineLevel="1">
      <c r="C34" s="476"/>
      <c r="E34" s="639"/>
      <c r="F34" s="639"/>
      <c r="G34" s="639"/>
      <c r="H34" s="639"/>
      <c r="I34" s="639"/>
      <c r="J34" s="643"/>
      <c r="K34" s="644"/>
    </row>
    <row r="35" spans="1:13" ht="15" customHeight="1" outlineLevel="1">
      <c r="C35" s="476"/>
      <c r="E35" s="639"/>
      <c r="F35" s="639"/>
      <c r="G35" s="639"/>
      <c r="H35" s="639"/>
      <c r="I35" s="639"/>
      <c r="J35" s="643"/>
      <c r="K35" s="644"/>
    </row>
    <row r="36" spans="1:13" ht="15" customHeight="1" outlineLevel="1">
      <c r="B36" s="433" t="s">
        <v>52</v>
      </c>
      <c r="D36" s="671"/>
      <c r="E36" s="671"/>
      <c r="F36" s="671"/>
      <c r="G36" s="671"/>
      <c r="H36" s="671"/>
      <c r="I36" s="671"/>
      <c r="J36" s="671"/>
      <c r="K36" s="671"/>
      <c r="L36" s="671"/>
      <c r="M36" s="671"/>
    </row>
    <row r="37" spans="1:13" ht="15" customHeight="1" outlineLevel="1">
      <c r="B37" s="692" t="s">
        <v>51</v>
      </c>
      <c r="D37" s="671"/>
      <c r="E37" s="671"/>
      <c r="F37" s="693" t="s">
        <v>48</v>
      </c>
      <c r="G37" s="671"/>
      <c r="H37" s="679">
        <v>45</v>
      </c>
      <c r="I37" s="680">
        <v>45</v>
      </c>
      <c r="J37" s="680">
        <v>45</v>
      </c>
      <c r="K37" s="680">
        <v>45</v>
      </c>
      <c r="L37" s="681">
        <v>45</v>
      </c>
      <c r="M37" s="671"/>
    </row>
    <row r="38" spans="1:13" ht="15" customHeight="1" outlineLevel="1">
      <c r="B38" s="692" t="s">
        <v>50</v>
      </c>
      <c r="D38" s="671"/>
      <c r="E38" s="671"/>
      <c r="F38" s="693" t="s">
        <v>48</v>
      </c>
      <c r="G38" s="671"/>
      <c r="H38" s="682">
        <v>25</v>
      </c>
      <c r="I38" s="683">
        <v>25</v>
      </c>
      <c r="J38" s="683">
        <v>25</v>
      </c>
      <c r="K38" s="683">
        <v>25</v>
      </c>
      <c r="L38" s="684">
        <v>25</v>
      </c>
      <c r="M38" s="671"/>
    </row>
    <row r="39" spans="1:13" ht="15" customHeight="1" outlineLevel="1">
      <c r="B39" s="692" t="s">
        <v>49</v>
      </c>
      <c r="D39" s="671"/>
      <c r="E39" s="671"/>
      <c r="F39" s="693" t="s">
        <v>48</v>
      </c>
      <c r="G39" s="671"/>
      <c r="H39" s="685">
        <v>40</v>
      </c>
      <c r="I39" s="686">
        <v>40</v>
      </c>
      <c r="J39" s="686">
        <v>40</v>
      </c>
      <c r="K39" s="686">
        <v>40</v>
      </c>
      <c r="L39" s="687">
        <v>40</v>
      </c>
      <c r="M39" s="671"/>
    </row>
    <row r="40" spans="1:13" ht="15" customHeight="1" outlineLevel="1">
      <c r="D40" s="671"/>
      <c r="E40" s="671"/>
      <c r="F40" s="671"/>
      <c r="G40" s="671"/>
      <c r="H40" s="671"/>
      <c r="I40" s="671"/>
      <c r="J40" s="671"/>
      <c r="K40" s="671"/>
      <c r="L40" s="671"/>
      <c r="M40" s="671"/>
    </row>
    <row r="41" spans="1:13" ht="15" customHeight="1" outlineLevel="1">
      <c r="D41" s="664"/>
      <c r="E41" s="664"/>
      <c r="F41" s="664"/>
      <c r="G41" s="664"/>
      <c r="H41" s="671"/>
      <c r="I41" s="671"/>
      <c r="J41" s="671"/>
      <c r="K41" s="671"/>
      <c r="L41" s="671"/>
    </row>
    <row r="42" spans="1:13" ht="15" customHeight="1" outlineLevel="1">
      <c r="B42" s="433" t="s">
        <v>47</v>
      </c>
      <c r="D42" s="671"/>
      <c r="E42" s="671"/>
      <c r="F42" s="671"/>
      <c r="G42" s="671"/>
      <c r="H42" s="671"/>
      <c r="I42" s="671"/>
      <c r="J42" s="671"/>
      <c r="K42" s="671"/>
      <c r="L42" s="671"/>
      <c r="M42" s="671"/>
    </row>
    <row r="43" spans="1:13" ht="15" customHeight="1" outlineLevel="1">
      <c r="B43" s="692" t="s">
        <v>46</v>
      </c>
      <c r="D43" s="664"/>
      <c r="E43" s="664"/>
      <c r="F43" s="664"/>
      <c r="G43" s="664"/>
      <c r="H43" s="694">
        <v>3.5000000000000003E-2</v>
      </c>
      <c r="I43" s="695">
        <v>0.03</v>
      </c>
      <c r="J43" s="695">
        <v>0.03</v>
      </c>
      <c r="K43" s="695">
        <v>2.5000000000000001E-2</v>
      </c>
      <c r="L43" s="696">
        <v>2.5000000000000001E-2</v>
      </c>
      <c r="M43" s="671"/>
    </row>
    <row r="44" spans="1:13" ht="15" customHeight="1" outlineLevel="1">
      <c r="B44" s="692" t="s">
        <v>45</v>
      </c>
      <c r="D44" s="664"/>
      <c r="E44" s="664"/>
      <c r="F44" s="693" t="s">
        <v>43</v>
      </c>
      <c r="G44" s="664"/>
      <c r="H44" s="682">
        <v>-4000</v>
      </c>
      <c r="I44" s="683">
        <v>-4000</v>
      </c>
      <c r="J44" s="683">
        <v>-4000</v>
      </c>
      <c r="K44" s="683">
        <v>-4000</v>
      </c>
      <c r="L44" s="684">
        <v>-4000</v>
      </c>
    </row>
    <row r="45" spans="1:13" ht="15" customHeight="1" outlineLevel="1">
      <c r="B45" s="692" t="s">
        <v>44</v>
      </c>
      <c r="D45" s="664"/>
      <c r="E45" s="664"/>
      <c r="F45" s="693" t="s">
        <v>43</v>
      </c>
      <c r="G45" s="664"/>
      <c r="H45" s="685">
        <v>-1000</v>
      </c>
      <c r="I45" s="686">
        <v>-1000</v>
      </c>
      <c r="J45" s="686">
        <v>-1000</v>
      </c>
      <c r="K45" s="686">
        <v>-1000</v>
      </c>
      <c r="L45" s="687">
        <v>-1000</v>
      </c>
    </row>
    <row r="46" spans="1:13" ht="15" customHeight="1" outlineLevel="1">
      <c r="C46" s="475"/>
      <c r="D46" s="671"/>
      <c r="E46" s="671"/>
      <c r="F46" s="671"/>
      <c r="G46" s="671"/>
      <c r="H46" s="671"/>
      <c r="I46" s="671"/>
      <c r="J46" s="671"/>
      <c r="K46" s="671"/>
      <c r="L46" s="671"/>
      <c r="M46" s="671"/>
    </row>
    <row r="47" spans="1:13" ht="15" customHeight="1" outlineLevel="1">
      <c r="C47" s="475"/>
      <c r="D47" s="671"/>
      <c r="E47" s="671"/>
      <c r="F47" s="671"/>
      <c r="G47" s="671"/>
      <c r="H47" s="671"/>
      <c r="I47" s="671"/>
      <c r="J47" s="671"/>
      <c r="K47" s="671"/>
      <c r="L47" s="671"/>
      <c r="M47" s="671"/>
    </row>
    <row r="48" spans="1:13" ht="15" customHeight="1" outlineLevel="1">
      <c r="C48" s="475"/>
      <c r="D48" s="671"/>
      <c r="E48" s="671"/>
      <c r="F48" s="671"/>
      <c r="G48" s="671"/>
      <c r="H48" s="671"/>
      <c r="I48" s="671"/>
      <c r="J48" s="671"/>
      <c r="K48" s="671"/>
      <c r="L48" s="671"/>
      <c r="M48" s="671"/>
    </row>
    <row r="49" spans="1:13" ht="15" customHeight="1" outlineLevel="1">
      <c r="A49" s="390"/>
      <c r="B49" s="390"/>
      <c r="C49" s="697" t="s">
        <v>42</v>
      </c>
      <c r="H49" s="698" t="s">
        <v>41</v>
      </c>
      <c r="I49" s="638"/>
      <c r="J49" s="638"/>
      <c r="K49" s="638"/>
      <c r="L49" s="638"/>
    </row>
    <row r="50" spans="1:13" ht="15" customHeight="1" outlineLevel="1">
      <c r="A50" s="390"/>
      <c r="B50" s="390"/>
      <c r="C50" s="699" t="s">
        <v>40</v>
      </c>
      <c r="D50" s="700"/>
      <c r="E50" s="701" t="s">
        <v>39</v>
      </c>
      <c r="F50" s="702">
        <v>2023</v>
      </c>
      <c r="H50" s="703" t="s">
        <v>38</v>
      </c>
      <c r="I50" s="639"/>
      <c r="J50" s="639"/>
      <c r="K50" s="639"/>
      <c r="L50" s="704">
        <v>0.3</v>
      </c>
    </row>
    <row r="51" spans="1:13" ht="15" customHeight="1" outlineLevel="1">
      <c r="A51" s="390"/>
      <c r="B51" s="390"/>
      <c r="C51" s="705" t="s">
        <v>37</v>
      </c>
      <c r="D51" s="706"/>
      <c r="E51" s="639"/>
      <c r="F51" s="707">
        <v>365</v>
      </c>
      <c r="H51" s="703" t="s">
        <v>36</v>
      </c>
      <c r="I51" s="639"/>
      <c r="J51" s="639"/>
      <c r="K51" s="639"/>
      <c r="L51" s="704">
        <v>0.5</v>
      </c>
    </row>
    <row r="52" spans="1:13" ht="15" customHeight="1" outlineLevel="1">
      <c r="A52" s="390"/>
      <c r="B52" s="390"/>
      <c r="C52" s="639"/>
      <c r="D52" s="706"/>
      <c r="E52" s="706"/>
      <c r="F52" s="639"/>
      <c r="G52" s="707"/>
      <c r="H52" s="427" t="s">
        <v>35</v>
      </c>
      <c r="I52" s="708"/>
      <c r="J52" s="640"/>
      <c r="K52" s="641"/>
      <c r="L52" s="709">
        <v>0.15</v>
      </c>
    </row>
    <row r="53" spans="1:13" ht="15" customHeight="1" outlineLevel="1">
      <c r="A53" s="390"/>
      <c r="B53" s="390"/>
      <c r="H53" s="703" t="s">
        <v>34</v>
      </c>
      <c r="I53" s="710"/>
      <c r="K53" s="693" t="str">
        <f>CONCATENATE("(End of ",$H$3-1,")")</f>
        <v>(End of 2022)</v>
      </c>
      <c r="L53" s="711">
        <v>39211</v>
      </c>
    </row>
    <row r="54" spans="1:13" ht="15" customHeight="1" outlineLevel="1">
      <c r="A54" s="390"/>
      <c r="B54" s="390"/>
      <c r="C54" s="698" t="s">
        <v>33</v>
      </c>
      <c r="D54" s="638"/>
      <c r="E54" s="638"/>
      <c r="F54" s="638"/>
      <c r="H54" s="703" t="s">
        <v>32</v>
      </c>
      <c r="K54" s="693" t="str">
        <f>CONCATENATE("(End of ",$H$3-1,")")</f>
        <v>(End of 2022)</v>
      </c>
      <c r="L54" s="712">
        <v>2657</v>
      </c>
      <c r="M54" s="393"/>
    </row>
    <row r="55" spans="1:13" ht="15" customHeight="1" outlineLevel="1">
      <c r="A55" s="390"/>
      <c r="B55" s="390"/>
      <c r="C55" s="705" t="s">
        <v>31</v>
      </c>
      <c r="D55" s="639"/>
      <c r="E55" s="713" t="s">
        <v>30</v>
      </c>
      <c r="F55" s="711">
        <v>1600</v>
      </c>
      <c r="M55" s="393"/>
    </row>
    <row r="56" spans="1:13" ht="15" customHeight="1" outlineLevel="1">
      <c r="A56" s="390"/>
      <c r="B56" s="390"/>
      <c r="C56" s="705" t="s">
        <v>29</v>
      </c>
      <c r="D56" s="639"/>
      <c r="E56" s="639"/>
      <c r="F56" s="704">
        <v>0.2</v>
      </c>
      <c r="M56" s="393"/>
    </row>
    <row r="57" spans="1:13" ht="15" customHeight="1" outlineLevel="1">
      <c r="A57" s="390"/>
      <c r="B57" s="390"/>
      <c r="M57" s="393"/>
    </row>
    <row r="58" spans="1:13" ht="15" customHeight="1" outlineLevel="1">
      <c r="A58" s="390"/>
      <c r="B58" s="390"/>
    </row>
    <row r="59" spans="1:13" ht="15" customHeight="1" outlineLevel="1">
      <c r="A59" s="390"/>
      <c r="B59" s="390"/>
      <c r="C59" s="697" t="s">
        <v>28</v>
      </c>
      <c r="H59" s="697" t="s">
        <v>27</v>
      </c>
    </row>
    <row r="60" spans="1:13" ht="15" customHeight="1" outlineLevel="1">
      <c r="A60" s="390"/>
      <c r="B60" s="390"/>
      <c r="C60" s="699" t="s">
        <v>26</v>
      </c>
      <c r="D60" s="700"/>
      <c r="E60" s="700"/>
      <c r="F60" s="714">
        <v>0.01</v>
      </c>
      <c r="H60" s="699" t="s">
        <v>25</v>
      </c>
      <c r="I60" s="700"/>
      <c r="J60" s="700"/>
      <c r="K60" s="700"/>
      <c r="L60" s="715">
        <v>0.5</v>
      </c>
    </row>
    <row r="61" spans="1:13" ht="15" customHeight="1" outlineLevel="1">
      <c r="C61" s="705" t="s">
        <v>24</v>
      </c>
      <c r="D61" s="639"/>
      <c r="E61" s="639"/>
      <c r="F61" s="716">
        <v>0.05</v>
      </c>
      <c r="H61" s="705" t="s">
        <v>23</v>
      </c>
      <c r="I61" s="639"/>
      <c r="J61" s="639"/>
      <c r="K61" s="713" t="s">
        <v>20</v>
      </c>
      <c r="L61" s="717">
        <v>16</v>
      </c>
    </row>
    <row r="62" spans="1:13" ht="15" customHeight="1" outlineLevel="1">
      <c r="C62" s="705" t="s">
        <v>22</v>
      </c>
      <c r="D62" s="639"/>
      <c r="E62" s="639"/>
      <c r="F62" s="716">
        <v>0.06</v>
      </c>
      <c r="H62" s="705" t="s">
        <v>21</v>
      </c>
      <c r="I62" s="639"/>
      <c r="J62" s="639"/>
      <c r="K62" s="713" t="s">
        <v>20</v>
      </c>
      <c r="L62" s="717">
        <v>20</v>
      </c>
      <c r="M62" s="671"/>
    </row>
    <row r="63" spans="1:13" ht="15" customHeight="1" outlineLevel="1">
      <c r="G63" s="639"/>
      <c r="H63" s="639"/>
      <c r="I63" s="691"/>
      <c r="J63" s="691"/>
      <c r="K63" s="691"/>
      <c r="L63" s="691"/>
    </row>
    <row r="64" spans="1:13" ht="15" customHeight="1" outlineLevel="1">
      <c r="C64" s="639"/>
      <c r="D64" s="639"/>
      <c r="E64" s="639"/>
      <c r="F64" s="639"/>
      <c r="G64" s="639"/>
      <c r="H64" s="639"/>
      <c r="I64" s="691"/>
      <c r="J64" s="691"/>
      <c r="K64" s="691"/>
      <c r="L64" s="691"/>
    </row>
    <row r="65" spans="2:13" ht="15" customHeight="1" outlineLevel="1">
      <c r="B65" s="392"/>
      <c r="C65" s="689"/>
      <c r="D65" s="689"/>
      <c r="E65" s="689"/>
      <c r="F65" s="689"/>
      <c r="G65" s="689"/>
      <c r="H65" s="689"/>
      <c r="I65" s="690"/>
      <c r="J65" s="690"/>
      <c r="K65" s="690"/>
      <c r="L65" s="690"/>
      <c r="M65" s="392" t="s">
        <v>0</v>
      </c>
    </row>
  </sheetData>
  <conditionalFormatting sqref="C60:F62">
    <cfRule type="containsText" dxfId="26" priority="5" operator="containsText" text="OK">
      <formula>NOT(ISERROR(SEARCH("OK",C60)))</formula>
    </cfRule>
    <cfRule type="containsText" dxfId="25" priority="6" operator="containsText" text="ERROR">
      <formula>NOT(ISERROR(SEARCH("ERROR",C60)))</formula>
    </cfRule>
  </conditionalFormatting>
  <conditionalFormatting sqref="F51">
    <cfRule type="expression" dxfId="24" priority="7">
      <formula>F51=1</formula>
    </cfRule>
  </conditionalFormatting>
  <conditionalFormatting sqref="H6:K21 H34:L54 H4:L5 H27:L28 I29:L30 H31:L32 C54:F56 H60:L62 I63:L65">
    <cfRule type="containsText" dxfId="23" priority="10" operator="containsText" text="OK">
      <formula>NOT(ISERROR(SEARCH("OK",C4)))</formula>
    </cfRule>
  </conditionalFormatting>
  <conditionalFormatting sqref="H22:K26">
    <cfRule type="containsText" dxfId="22" priority="3" operator="containsText" text="OK">
      <formula>NOT(ISERROR(SEARCH("OK",H22)))</formula>
    </cfRule>
    <cfRule type="containsText" dxfId="21" priority="4" operator="containsText" text="ERROR">
      <formula>NOT(ISERROR(SEARCH("ERROR",H22)))</formula>
    </cfRule>
  </conditionalFormatting>
  <conditionalFormatting sqref="H37:K39">
    <cfRule type="containsText" dxfId="20" priority="1" operator="containsText" text="OK">
      <formula>NOT(ISERROR(SEARCH("OK",H37)))</formula>
    </cfRule>
    <cfRule type="containsText" dxfId="19" priority="2" operator="containsText" text="ERROR">
      <formula>NOT(ISERROR(SEARCH("ERROR",H37)))</formula>
    </cfRule>
  </conditionalFormatting>
  <conditionalFormatting sqref="H20:L21 H41:L41 H43:L43">
    <cfRule type="containsText" dxfId="18" priority="8" operator="containsText" text="OK">
      <formula>NOT(ISERROR(SEARCH("OK",H20)))</formula>
    </cfRule>
    <cfRule type="containsText" dxfId="17" priority="9" operator="containsText" text="ERROR">
      <formula>NOT(ISERROR(SEARCH("ERROR",H20)))</formula>
    </cfRule>
  </conditionalFormatting>
  <conditionalFormatting sqref="H4:L5 H6:K21 H27:L28 I29:L30 H31:L32 H34:L54 C54:F56 H60:L62 I63:L65">
    <cfRule type="containsText" dxfId="16" priority="11" operator="containsText" text="ERROR">
      <formula>NOT(ISERROR(SEARCH("ERROR",C4)))</formula>
    </cfRule>
  </conditionalFormatting>
  <printOptions horizontalCentered="1"/>
  <pageMargins left="0.11811023622047245" right="0.11811023622047245" top="0.11811023622047245" bottom="0.11811023622047245" header="0.11811023622047245" footer="0.11811023622047245"/>
  <pageSetup scale="85" orientation="landscape" r:id="rId1"/>
  <headerFooter alignWithMargins="0">
    <oddFooter>&amp;L&amp;"Open Sans,Bold"&amp;10 &amp;K0020603-Statement Modeling&amp;C&amp;"Open Sans,Bold"&amp;10&amp;K002060Page &amp;P of &amp;N&amp;R&amp;G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5" name="Drop Down 1">
              <controlPr defaultSize="0" autoLine="0" autoPict="0">
                <anchor moveWithCells="1">
                  <from>
                    <xdr:col>4</xdr:col>
                    <xdr:colOff>30480</xdr:colOff>
                    <xdr:row>3</xdr:row>
                    <xdr:rowOff>182880</xdr:rowOff>
                  </from>
                  <to>
                    <xdr:col>5</xdr:col>
                    <xdr:colOff>30480</xdr:colOff>
                    <xdr:row>5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54A69-A364-4160-93AF-4FCBC04FAD4E}">
  <sheetPr>
    <tabColor theme="1"/>
    <pageSetUpPr autoPageBreaks="0"/>
  </sheetPr>
  <dimension ref="A1:Q67"/>
  <sheetViews>
    <sheetView showGridLines="0" zoomScaleNormal="100" zoomScaleSheetLayoutView="95" workbookViewId="0">
      <pane ySplit="1" topLeftCell="A2" activePane="bottomLeft" state="frozen"/>
      <selection pane="bottomLeft"/>
    </sheetView>
  </sheetViews>
  <sheetFormatPr defaultColWidth="9.109375" defaultRowHeight="15" customHeight="1" outlineLevelRow="1"/>
  <cols>
    <col min="1" max="1" width="9.109375" style="4"/>
    <col min="2" max="2" width="1.6640625" style="4" customWidth="1"/>
    <col min="3" max="3" width="12.88671875" style="4" customWidth="1"/>
    <col min="4" max="6" width="11.88671875" style="4" customWidth="1"/>
    <col min="7" max="7" width="12.33203125" style="4" bestFit="1" customWidth="1"/>
    <col min="8" max="12" width="11.88671875" style="4" customWidth="1"/>
    <col min="13" max="13" width="1.6640625" style="4" customWidth="1"/>
    <col min="14" max="14" width="9.109375" style="4"/>
    <col min="15" max="17" width="12.6640625" style="4" customWidth="1"/>
    <col min="18" max="16384" width="9.109375" style="4"/>
  </cols>
  <sheetData>
    <row r="1" spans="1:17" ht="50.1" customHeight="1">
      <c r="A1" s="7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7" ht="15" customHeight="1">
      <c r="A2" s="68"/>
      <c r="B2" s="68"/>
      <c r="C2" s="68"/>
      <c r="D2" s="108"/>
      <c r="E2" s="108"/>
      <c r="F2" s="108"/>
      <c r="G2" s="108"/>
      <c r="H2" s="107"/>
      <c r="I2" s="106"/>
      <c r="J2" s="106"/>
      <c r="K2" s="106"/>
      <c r="L2" s="106"/>
    </row>
    <row r="3" spans="1:17" ht="15" customHeight="1">
      <c r="A3" s="68" t="s">
        <v>0</v>
      </c>
      <c r="B3" s="45" t="s">
        <v>60</v>
      </c>
      <c r="C3" s="44"/>
      <c r="D3" s="44"/>
      <c r="E3" s="44"/>
      <c r="F3" s="44"/>
      <c r="G3" s="43"/>
      <c r="H3" s="42"/>
      <c r="I3" s="42"/>
      <c r="J3" s="42"/>
      <c r="K3" s="42"/>
      <c r="L3" s="42"/>
      <c r="M3" s="148"/>
    </row>
    <row r="4" spans="1:17" ht="15" customHeight="1" outlineLevel="1">
      <c r="A4" s="68"/>
      <c r="B4" s="147"/>
      <c r="D4" s="40"/>
      <c r="E4" s="146"/>
      <c r="F4" s="146"/>
      <c r="G4" s="145"/>
      <c r="H4" s="145"/>
      <c r="I4" s="145"/>
      <c r="J4" s="145"/>
      <c r="K4" s="145"/>
      <c r="L4" s="145"/>
      <c r="M4" s="145"/>
    </row>
    <row r="5" spans="1:17" ht="15" customHeight="1" outlineLevel="1" thickBot="1">
      <c r="A5" s="68"/>
      <c r="B5" s="41" t="s">
        <v>15</v>
      </c>
      <c r="D5" s="40"/>
      <c r="E5" s="39"/>
      <c r="F5" s="39"/>
      <c r="G5" s="38"/>
      <c r="H5" s="105">
        <f>'Inputs-R'!$F$52</f>
        <v>2023</v>
      </c>
      <c r="I5" s="105">
        <f>H5+1</f>
        <v>2024</v>
      </c>
      <c r="J5" s="105">
        <f>I5+1</f>
        <v>2025</v>
      </c>
      <c r="K5" s="105">
        <f>J5+1</f>
        <v>2026</v>
      </c>
      <c r="L5" s="105">
        <f>K5+1</f>
        <v>2027</v>
      </c>
    </row>
    <row r="6" spans="1:17" s="2" customFormat="1" ht="15" customHeight="1" outlineLevel="1">
      <c r="C6" s="35"/>
      <c r="E6" s="26"/>
      <c r="F6" s="26"/>
      <c r="G6" s="26"/>
      <c r="H6" s="26"/>
      <c r="I6" s="26"/>
      <c r="J6" s="28"/>
      <c r="K6" s="27"/>
      <c r="M6" s="4"/>
    </row>
    <row r="7" spans="1:17" s="2" customFormat="1" ht="15" customHeight="1" outlineLevel="1">
      <c r="B7" s="101" t="s">
        <v>14</v>
      </c>
      <c r="E7" s="144">
        <v>2</v>
      </c>
      <c r="F7" s="26"/>
      <c r="G7" s="26"/>
      <c r="H7" s="26"/>
      <c r="I7" s="26"/>
      <c r="J7" s="28"/>
      <c r="K7" s="27"/>
      <c r="O7" s="1"/>
    </row>
    <row r="8" spans="1:17" s="2" customFormat="1" ht="15" customHeight="1" outlineLevel="1">
      <c r="D8" s="26"/>
      <c r="E8" s="26"/>
      <c r="F8" s="26"/>
      <c r="G8" s="26"/>
      <c r="H8" s="26"/>
      <c r="I8" s="28"/>
      <c r="J8" s="27"/>
      <c r="M8" s="143"/>
    </row>
    <row r="9" spans="1:17" s="2" customFormat="1" ht="15" customHeight="1" outlineLevel="1" thickBot="1">
      <c r="D9" s="26"/>
      <c r="E9" s="26"/>
      <c r="F9" s="26"/>
      <c r="G9" s="26"/>
      <c r="H9" s="26"/>
      <c r="I9" s="28"/>
      <c r="J9" s="27"/>
      <c r="O9" s="52" t="s">
        <v>19</v>
      </c>
      <c r="P9" s="51" t="s">
        <v>18</v>
      </c>
      <c r="Q9" s="50" t="s">
        <v>17</v>
      </c>
    </row>
    <row r="10" spans="1:17" s="2" customFormat="1" ht="15" customHeight="1" outlineLevel="1">
      <c r="B10" s="101" t="s">
        <v>59</v>
      </c>
      <c r="E10" s="142"/>
      <c r="F10" s="142"/>
      <c r="G10" s="142"/>
      <c r="H10" s="134" cm="1">
        <f t="array" ref="H10">INDEX(H12:H14,Inputs!$E$5)</f>
        <v>0.02</v>
      </c>
      <c r="I10" s="133" cm="1">
        <f t="array" ref="I10">INDEX(I12:I14,Inputs!$E$5)</f>
        <v>0.01</v>
      </c>
      <c r="J10" s="133" cm="1">
        <f t="array" ref="J10">INDEX(J12:J14,Inputs!$E$5)</f>
        <v>0.01</v>
      </c>
      <c r="K10" s="133" cm="1">
        <f t="array" ref="K10">INDEX(K12:K14,Inputs!$E$5)</f>
        <v>5.0000000000000001E-3</v>
      </c>
      <c r="L10" s="132" cm="1">
        <f t="array" ref="L10">INDEX(L12:L14,Inputs!$E$5)</f>
        <v>5.0000000000000001E-3</v>
      </c>
      <c r="O10" s="54">
        <f>SUM(Inputs!H8:L8)</f>
        <v>4.9999999999999996E-2</v>
      </c>
      <c r="P10" s="53">
        <f>SUM(H10:L10)</f>
        <v>4.9999999999999996E-2</v>
      </c>
      <c r="Q10" s="47" cm="1">
        <f t="array" ref="Q10">IF(SUM(ISBLANK(Inputs!H8:L8)*1)&gt;0,0,IF(O10=P10,1,0))</f>
        <v>1</v>
      </c>
    </row>
    <row r="11" spans="1:17" s="2" customFormat="1" ht="15" customHeight="1" outlineLevel="1">
      <c r="D11" s="26"/>
      <c r="E11" s="26"/>
      <c r="F11" s="26"/>
      <c r="G11" s="26"/>
      <c r="H11" s="138"/>
      <c r="I11" s="141"/>
      <c r="J11" s="136"/>
      <c r="K11" s="135"/>
      <c r="L11" s="135"/>
      <c r="O11" s="16"/>
      <c r="P11" s="16"/>
      <c r="Q11" s="16"/>
    </row>
    <row r="12" spans="1:17" s="2" customFormat="1" ht="15" customHeight="1" outlineLevel="1">
      <c r="B12" s="139" t="s">
        <v>58</v>
      </c>
      <c r="D12" s="140"/>
      <c r="E12" s="26"/>
      <c r="F12" s="26"/>
      <c r="G12" s="26"/>
      <c r="H12" s="127">
        <v>0.03</v>
      </c>
      <c r="I12" s="126">
        <v>0.02</v>
      </c>
      <c r="J12" s="126">
        <v>0.02</v>
      </c>
      <c r="K12" s="126">
        <v>1.4999999999999999E-2</v>
      </c>
      <c r="L12" s="125">
        <v>1.4999999999999999E-2</v>
      </c>
      <c r="O12" s="16"/>
      <c r="P12" s="16"/>
      <c r="Q12" s="16"/>
    </row>
    <row r="13" spans="1:17" s="2" customFormat="1" ht="15" customHeight="1" outlineLevel="1">
      <c r="B13" s="139" t="s">
        <v>57</v>
      </c>
      <c r="D13" s="26"/>
      <c r="E13" s="26"/>
      <c r="F13" s="26"/>
      <c r="G13" s="26"/>
      <c r="H13" s="124">
        <v>0.02</v>
      </c>
      <c r="I13" s="123">
        <v>0.01</v>
      </c>
      <c r="J13" s="123">
        <v>0.01</v>
      </c>
      <c r="K13" s="123">
        <v>5.0000000000000001E-3</v>
      </c>
      <c r="L13" s="122">
        <v>5.0000000000000001E-3</v>
      </c>
      <c r="O13" s="16"/>
      <c r="P13" s="16"/>
      <c r="Q13" s="16"/>
    </row>
    <row r="14" spans="1:17" s="2" customFormat="1" ht="15" customHeight="1" outlineLevel="1">
      <c r="B14" s="139" t="s">
        <v>56</v>
      </c>
      <c r="D14" s="26"/>
      <c r="E14" s="26"/>
      <c r="F14" s="26"/>
      <c r="G14" s="26"/>
      <c r="H14" s="120">
        <v>0.01</v>
      </c>
      <c r="I14" s="119">
        <v>0.01</v>
      </c>
      <c r="J14" s="119">
        <v>5.0000000000000001E-3</v>
      </c>
      <c r="K14" s="119">
        <v>5.0000000000000001E-3</v>
      </c>
      <c r="L14" s="118">
        <v>5.0000000000000001E-3</v>
      </c>
      <c r="O14" s="16"/>
      <c r="P14" s="16"/>
      <c r="Q14" s="16"/>
    </row>
    <row r="15" spans="1:17" s="2" customFormat="1" ht="15" customHeight="1" outlineLevel="1">
      <c r="B15" s="35"/>
      <c r="D15" s="93"/>
      <c r="E15" s="93"/>
      <c r="F15" s="93"/>
      <c r="G15" s="93"/>
      <c r="H15" s="138"/>
      <c r="I15" s="137"/>
      <c r="J15" s="136"/>
      <c r="K15" s="135"/>
      <c r="L15" s="135"/>
      <c r="O15" s="16"/>
      <c r="P15" s="16"/>
      <c r="Q15" s="16"/>
    </row>
    <row r="16" spans="1:17" s="2" customFormat="1" ht="15" customHeight="1" outlineLevel="1" thickBot="1">
      <c r="B16" s="35"/>
      <c r="D16" s="93"/>
      <c r="E16" s="93"/>
      <c r="F16" s="93"/>
      <c r="G16" s="93"/>
      <c r="H16" s="138"/>
      <c r="I16" s="137"/>
      <c r="J16" s="136"/>
      <c r="K16" s="135"/>
      <c r="L16" s="135"/>
      <c r="O16" s="52" t="s">
        <v>19</v>
      </c>
      <c r="P16" s="51" t="s">
        <v>18</v>
      </c>
      <c r="Q16" s="50" t="s">
        <v>17</v>
      </c>
    </row>
    <row r="17" spans="2:17" s="2" customFormat="1" ht="15" customHeight="1" outlineLevel="1">
      <c r="B17" s="101" t="s">
        <v>55</v>
      </c>
      <c r="D17" s="93"/>
      <c r="E17" s="93"/>
      <c r="F17" s="93"/>
      <c r="G17" s="93"/>
      <c r="H17" s="134" cm="1">
        <f t="array" ref="H17">INDEX(H19:H21,Inputs!$E$5)</f>
        <v>0.03</v>
      </c>
      <c r="I17" s="133" cm="1">
        <f t="array" ref="I17">INDEX(I19:I21,Inputs!$E$5)</f>
        <v>0.01</v>
      </c>
      <c r="J17" s="133" cm="1">
        <f t="array" ref="J17">INDEX(J19:J21,Inputs!$E$5)</f>
        <v>0.01</v>
      </c>
      <c r="K17" s="133" cm="1">
        <f t="array" ref="K17">INDEX(K19:K21,Inputs!$E$5)</f>
        <v>0.01</v>
      </c>
      <c r="L17" s="132" cm="1">
        <f t="array" ref="L17">INDEX(L19:L21,Inputs!$E$5)</f>
        <v>5.0000000000000001E-3</v>
      </c>
      <c r="O17" s="54">
        <f>SUM(Inputs!H15:L15)</f>
        <v>6.5000000000000002E-2</v>
      </c>
      <c r="P17" s="53">
        <f>SUM(H17:L17)</f>
        <v>6.5000000000000002E-2</v>
      </c>
      <c r="Q17" s="47" cm="1">
        <f t="array" ref="Q17">IF(SUM(ISBLANK(Inputs!H15:L15)*1)&gt;0,0,IF(O17=P17,1,0))</f>
        <v>1</v>
      </c>
    </row>
    <row r="18" spans="2:17" s="2" customFormat="1" ht="15" customHeight="1" outlineLevel="1">
      <c r="B18" s="35"/>
      <c r="D18" s="93"/>
      <c r="E18" s="93"/>
      <c r="F18" s="93"/>
      <c r="G18" s="93"/>
      <c r="H18" s="131"/>
      <c r="I18" s="130"/>
      <c r="J18" s="129"/>
      <c r="K18" s="128"/>
      <c r="L18" s="128"/>
      <c r="O18" s="16"/>
      <c r="P18" s="16"/>
      <c r="Q18" s="16"/>
    </row>
    <row r="19" spans="2:17" s="2" customFormat="1" ht="15" customHeight="1" outlineLevel="1">
      <c r="B19" s="110" t="str">
        <f>$B$12</f>
        <v>Best Case</v>
      </c>
      <c r="D19" s="26"/>
      <c r="E19" s="26"/>
      <c r="F19" s="26"/>
      <c r="G19" s="26"/>
      <c r="H19" s="127">
        <v>3.5000000000000003E-2</v>
      </c>
      <c r="I19" s="126">
        <v>0.02</v>
      </c>
      <c r="J19" s="126">
        <v>0.02</v>
      </c>
      <c r="K19" s="126">
        <v>0.02</v>
      </c>
      <c r="L19" s="125">
        <v>1.4999999999999999E-2</v>
      </c>
      <c r="O19" s="16"/>
      <c r="P19" s="16"/>
      <c r="Q19" s="16"/>
    </row>
    <row r="20" spans="2:17" s="2" customFormat="1" ht="15" customHeight="1" outlineLevel="1">
      <c r="B20" s="110" t="str">
        <f>$B$13</f>
        <v>Base Case</v>
      </c>
      <c r="D20" s="26"/>
      <c r="E20" s="26"/>
      <c r="F20" s="26"/>
      <c r="G20" s="26"/>
      <c r="H20" s="124">
        <v>0.03</v>
      </c>
      <c r="I20" s="123">
        <v>0.01</v>
      </c>
      <c r="J20" s="123">
        <v>0.01</v>
      </c>
      <c r="K20" s="123">
        <v>0.01</v>
      </c>
      <c r="L20" s="122">
        <v>5.0000000000000001E-3</v>
      </c>
      <c r="M20" s="121"/>
      <c r="O20" s="16"/>
      <c r="P20" s="16"/>
      <c r="Q20" s="16"/>
    </row>
    <row r="21" spans="2:17" s="2" customFormat="1" ht="15" customHeight="1" outlineLevel="1">
      <c r="B21" s="110" t="str">
        <f>$B$14</f>
        <v>Worst Case</v>
      </c>
      <c r="D21" s="26"/>
      <c r="E21" s="26"/>
      <c r="F21" s="26"/>
      <c r="G21" s="26"/>
      <c r="H21" s="120">
        <v>0.01</v>
      </c>
      <c r="I21" s="119">
        <v>0.01</v>
      </c>
      <c r="J21" s="119">
        <v>5.0000000000000001E-3</v>
      </c>
      <c r="K21" s="119">
        <v>5.0000000000000001E-3</v>
      </c>
      <c r="L21" s="118">
        <v>5.0000000000000001E-3</v>
      </c>
      <c r="O21" s="16"/>
      <c r="P21" s="16"/>
      <c r="Q21" s="16"/>
    </row>
    <row r="22" spans="2:17" s="2" customFormat="1" ht="15" customHeight="1" outlineLevel="1">
      <c r="B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O22" s="16"/>
      <c r="P22" s="16"/>
      <c r="Q22" s="16"/>
    </row>
    <row r="23" spans="2:17" s="2" customFormat="1" ht="15" customHeight="1" outlineLevel="1" thickBot="1">
      <c r="B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O23" s="52" t="s">
        <v>19</v>
      </c>
      <c r="P23" s="51" t="s">
        <v>18</v>
      </c>
      <c r="Q23" s="50" t="s">
        <v>17</v>
      </c>
    </row>
    <row r="24" spans="2:17" s="2" customFormat="1" ht="15" customHeight="1" outlineLevel="1">
      <c r="B24" s="101" t="s">
        <v>54</v>
      </c>
      <c r="D24" s="93"/>
      <c r="E24" s="93"/>
      <c r="F24" s="93"/>
      <c r="G24" s="93"/>
      <c r="H24" s="117" cm="1">
        <f t="array" ref="H24">INDEX(H26:H28,Inputs!$E$5)</f>
        <v>25475</v>
      </c>
      <c r="I24" s="116" cm="1">
        <f t="array" ref="I24">INDEX(I26:I28,Inputs!$E$5)</f>
        <v>7050</v>
      </c>
      <c r="J24" s="116" cm="1">
        <f t="array" ref="J24">INDEX(J26:J28,Inputs!$E$5)</f>
        <v>7275</v>
      </c>
      <c r="K24" s="116" cm="1">
        <f t="array" ref="K24">INDEX(K26:K28,Inputs!$E$5)</f>
        <v>7200</v>
      </c>
      <c r="L24" s="115" cm="1">
        <f t="array" ref="L24">INDEX(L26:L28,Inputs!$E$5)</f>
        <v>7687.5</v>
      </c>
      <c r="M24" s="59"/>
      <c r="O24" s="49">
        <f>SUM(Inputs!H22:L22)</f>
        <v>54687.5</v>
      </c>
      <c r="P24" s="48">
        <f>SUM(H24:L24)</f>
        <v>54687.5</v>
      </c>
      <c r="Q24" s="47" cm="1">
        <f t="array" ref="Q24">IF(SUM(ISBLANK(Inputs!H22:L22)*1)&gt;0,0,IF(O24=P24,1,0))</f>
        <v>1</v>
      </c>
    </row>
    <row r="25" spans="2:17" s="2" customFormat="1" ht="15" customHeight="1" outlineLevel="1">
      <c r="B25" s="35"/>
      <c r="D25" s="93"/>
      <c r="E25" s="93"/>
      <c r="F25" s="93"/>
      <c r="G25" s="93"/>
      <c r="H25" s="114"/>
      <c r="I25" s="113"/>
      <c r="J25" s="112"/>
      <c r="K25" s="111"/>
      <c r="L25" s="111"/>
      <c r="M25" s="59"/>
    </row>
    <row r="26" spans="2:17" s="2" customFormat="1" ht="15" customHeight="1" outlineLevel="1">
      <c r="B26" s="110" t="str">
        <f>$B$12</f>
        <v>Best Case</v>
      </c>
      <c r="D26" s="26"/>
      <c r="E26" s="26"/>
      <c r="F26" s="93"/>
      <c r="G26" s="26"/>
      <c r="H26" s="104">
        <v>23000</v>
      </c>
      <c r="I26" s="103">
        <v>6450</v>
      </c>
      <c r="J26" s="103">
        <v>6600</v>
      </c>
      <c r="K26" s="103">
        <v>6900</v>
      </c>
      <c r="L26" s="102">
        <v>7200</v>
      </c>
      <c r="M26" s="59"/>
    </row>
    <row r="27" spans="2:17" s="2" customFormat="1" ht="15" customHeight="1" outlineLevel="1">
      <c r="B27" s="110" t="str">
        <f>$B$13</f>
        <v>Base Case</v>
      </c>
      <c r="D27" s="26"/>
      <c r="E27" s="26"/>
      <c r="F27" s="26"/>
      <c r="G27" s="26"/>
      <c r="H27" s="97">
        <v>25475</v>
      </c>
      <c r="I27" s="96">
        <v>7050</v>
      </c>
      <c r="J27" s="96">
        <v>7275</v>
      </c>
      <c r="K27" s="96">
        <v>7200</v>
      </c>
      <c r="L27" s="95">
        <v>7687.5</v>
      </c>
      <c r="M27" s="59"/>
    </row>
    <row r="28" spans="2:17" s="2" customFormat="1" ht="15" customHeight="1" outlineLevel="1">
      <c r="B28" s="110" t="str">
        <f>$B$14</f>
        <v>Worst Case</v>
      </c>
      <c r="D28" s="26"/>
      <c r="E28" s="26"/>
      <c r="F28" s="26"/>
      <c r="G28" s="26"/>
      <c r="H28" s="92">
        <v>27500</v>
      </c>
      <c r="I28" s="91">
        <v>7800</v>
      </c>
      <c r="J28" s="91">
        <v>8100</v>
      </c>
      <c r="K28" s="91">
        <v>8250</v>
      </c>
      <c r="L28" s="90">
        <v>8400</v>
      </c>
      <c r="M28" s="59"/>
    </row>
    <row r="29" spans="2:17" s="2" customFormat="1" ht="15" customHeight="1" outlineLevel="1">
      <c r="C29" s="35"/>
      <c r="D29" s="93"/>
      <c r="E29" s="93"/>
      <c r="F29" s="93"/>
      <c r="G29" s="93"/>
      <c r="H29" s="109"/>
      <c r="I29" s="109"/>
      <c r="J29" s="109"/>
      <c r="K29" s="109"/>
      <c r="L29" s="109"/>
      <c r="M29" s="59"/>
    </row>
    <row r="30" spans="2:17" s="2" customFormat="1" ht="15" customHeight="1" outlineLevel="1">
      <c r="C30" s="35"/>
      <c r="D30" s="93"/>
      <c r="E30" s="93"/>
      <c r="F30" s="93"/>
      <c r="G30" s="93"/>
      <c r="H30" s="109"/>
      <c r="I30" s="109"/>
      <c r="J30" s="109"/>
      <c r="K30" s="109"/>
      <c r="L30" s="109"/>
    </row>
    <row r="31" spans="2:17" s="2" customFormat="1" ht="15" customHeight="1" outlineLevel="1">
      <c r="B31" s="55"/>
      <c r="C31" s="57"/>
      <c r="D31" s="57"/>
      <c r="E31" s="57"/>
      <c r="F31" s="57"/>
      <c r="G31" s="57"/>
      <c r="H31" s="57"/>
      <c r="I31" s="56"/>
      <c r="J31" s="56"/>
      <c r="K31" s="56"/>
      <c r="L31" s="56"/>
      <c r="M31" s="55"/>
    </row>
    <row r="32" spans="2:17" s="2" customFormat="1" ht="15" customHeight="1">
      <c r="C32" s="26"/>
      <c r="D32" s="26"/>
      <c r="E32" s="26"/>
      <c r="F32" s="26"/>
      <c r="G32" s="26"/>
      <c r="H32" s="26"/>
      <c r="I32" s="58"/>
      <c r="J32" s="58"/>
      <c r="K32" s="58"/>
      <c r="L32" s="58"/>
    </row>
    <row r="33" spans="1:13" ht="15" customHeight="1">
      <c r="A33" s="68" t="s">
        <v>0</v>
      </c>
      <c r="B33" s="45" t="s">
        <v>53</v>
      </c>
      <c r="C33" s="44"/>
      <c r="D33" s="44"/>
      <c r="E33" s="43"/>
      <c r="F33" s="43"/>
      <c r="G33" s="42"/>
      <c r="H33" s="42"/>
      <c r="I33" s="42"/>
      <c r="J33" s="42"/>
      <c r="K33" s="42"/>
      <c r="L33" s="42"/>
    </row>
    <row r="34" spans="1:13" ht="15" customHeight="1" outlineLevel="1">
      <c r="A34" s="68"/>
      <c r="B34" s="41"/>
      <c r="D34" s="108"/>
      <c r="E34" s="108"/>
      <c r="F34" s="108"/>
      <c r="G34" s="108"/>
      <c r="H34" s="107"/>
      <c r="I34" s="106"/>
      <c r="J34" s="106"/>
      <c r="K34" s="106"/>
      <c r="L34" s="106"/>
    </row>
    <row r="35" spans="1:13" ht="15" customHeight="1" outlineLevel="1" thickBot="1">
      <c r="A35" s="68"/>
      <c r="B35" s="41" t="s">
        <v>15</v>
      </c>
      <c r="D35" s="40"/>
      <c r="E35" s="39"/>
      <c r="F35" s="39"/>
      <c r="G35" s="38"/>
      <c r="H35" s="105">
        <f>'Inputs-R'!$F$52</f>
        <v>2023</v>
      </c>
      <c r="I35" s="105">
        <f>H35+1</f>
        <v>2024</v>
      </c>
      <c r="J35" s="105">
        <f>I35+1</f>
        <v>2025</v>
      </c>
      <c r="K35" s="105">
        <f>J35+1</f>
        <v>2026</v>
      </c>
      <c r="L35" s="105">
        <f>K35+1</f>
        <v>2027</v>
      </c>
    </row>
    <row r="36" spans="1:13" s="2" customFormat="1" ht="15" customHeight="1" outlineLevel="1">
      <c r="C36" s="35"/>
      <c r="E36" s="26"/>
      <c r="F36" s="26"/>
      <c r="G36" s="26"/>
      <c r="H36" s="26"/>
      <c r="I36" s="26"/>
      <c r="J36" s="28"/>
      <c r="K36" s="27"/>
      <c r="M36" s="4"/>
    </row>
    <row r="37" spans="1:13" s="2" customFormat="1" ht="15" customHeight="1" outlineLevel="1">
      <c r="C37" s="35"/>
      <c r="E37" s="26"/>
      <c r="F37" s="26"/>
      <c r="G37" s="26"/>
      <c r="H37" s="26"/>
      <c r="I37" s="26"/>
      <c r="J37" s="28"/>
      <c r="K37" s="27"/>
      <c r="M37" s="4"/>
    </row>
    <row r="38" spans="1:13" s="2" customFormat="1" ht="15" customHeight="1" outlineLevel="1">
      <c r="B38" s="101" t="s">
        <v>52</v>
      </c>
      <c r="D38" s="59"/>
      <c r="E38" s="59"/>
      <c r="F38" s="59"/>
      <c r="G38" s="59"/>
      <c r="H38" s="59"/>
      <c r="I38" s="59"/>
      <c r="J38" s="59"/>
      <c r="K38" s="59"/>
      <c r="L38" s="59"/>
      <c r="M38" s="59"/>
    </row>
    <row r="39" spans="1:13" s="2" customFormat="1" ht="15" customHeight="1" outlineLevel="1">
      <c r="B39" s="94" t="s">
        <v>51</v>
      </c>
      <c r="D39" s="59"/>
      <c r="E39" s="59"/>
      <c r="F39" s="74" t="s">
        <v>48</v>
      </c>
      <c r="G39" s="59"/>
      <c r="H39" s="104">
        <v>45</v>
      </c>
      <c r="I39" s="103">
        <v>45</v>
      </c>
      <c r="J39" s="103">
        <v>45</v>
      </c>
      <c r="K39" s="103">
        <v>45</v>
      </c>
      <c r="L39" s="102">
        <v>45</v>
      </c>
      <c r="M39" s="59"/>
    </row>
    <row r="40" spans="1:13" s="2" customFormat="1" ht="15" customHeight="1" outlineLevel="1">
      <c r="B40" s="94" t="s">
        <v>50</v>
      </c>
      <c r="D40" s="59"/>
      <c r="E40" s="59"/>
      <c r="F40" s="74" t="s">
        <v>48</v>
      </c>
      <c r="G40" s="59"/>
      <c r="H40" s="97">
        <v>25</v>
      </c>
      <c r="I40" s="96">
        <v>25</v>
      </c>
      <c r="J40" s="96">
        <v>25</v>
      </c>
      <c r="K40" s="96">
        <v>25</v>
      </c>
      <c r="L40" s="95">
        <v>25</v>
      </c>
      <c r="M40" s="59"/>
    </row>
    <row r="41" spans="1:13" s="2" customFormat="1" ht="15" customHeight="1" outlineLevel="1">
      <c r="B41" s="94" t="s">
        <v>49</v>
      </c>
      <c r="D41" s="59"/>
      <c r="E41" s="59"/>
      <c r="F41" s="74" t="s">
        <v>48</v>
      </c>
      <c r="G41" s="59"/>
      <c r="H41" s="92">
        <v>40</v>
      </c>
      <c r="I41" s="91">
        <v>40</v>
      </c>
      <c r="J41" s="91">
        <v>40</v>
      </c>
      <c r="K41" s="91">
        <v>40</v>
      </c>
      <c r="L41" s="90">
        <v>40</v>
      </c>
      <c r="M41" s="59"/>
    </row>
    <row r="42" spans="1:13" s="2" customFormat="1" ht="15" customHeight="1" outlineLevel="1">
      <c r="D42" s="59"/>
      <c r="E42" s="59"/>
      <c r="F42" s="59"/>
      <c r="G42" s="59"/>
      <c r="H42" s="59"/>
      <c r="I42" s="59"/>
      <c r="J42" s="59"/>
      <c r="K42" s="59"/>
      <c r="L42" s="59"/>
      <c r="M42" s="59"/>
    </row>
    <row r="43" spans="1:13" s="2" customFormat="1" ht="15" customHeight="1" outlineLevel="1">
      <c r="D43" s="93"/>
      <c r="E43" s="93"/>
      <c r="F43" s="93"/>
      <c r="G43" s="93"/>
      <c r="H43" s="59"/>
      <c r="I43" s="59"/>
      <c r="J43" s="59"/>
      <c r="K43" s="59"/>
      <c r="L43" s="59"/>
    </row>
    <row r="44" spans="1:13" s="2" customFormat="1" ht="15" customHeight="1" outlineLevel="1">
      <c r="B44" s="101" t="s">
        <v>47</v>
      </c>
      <c r="D44" s="59"/>
      <c r="E44" s="59"/>
      <c r="F44" s="59"/>
      <c r="G44" s="59"/>
      <c r="H44" s="59"/>
      <c r="I44" s="59"/>
      <c r="J44" s="59"/>
      <c r="K44" s="59"/>
      <c r="L44" s="59"/>
      <c r="M44" s="59"/>
    </row>
    <row r="45" spans="1:13" s="2" customFormat="1" ht="15" customHeight="1" outlineLevel="1">
      <c r="B45" s="94" t="s">
        <v>46</v>
      </c>
      <c r="D45" s="93"/>
      <c r="E45" s="93"/>
      <c r="F45" s="93"/>
      <c r="G45" s="93"/>
      <c r="H45" s="100">
        <v>3.5000000000000003E-2</v>
      </c>
      <c r="I45" s="99">
        <v>0.03</v>
      </c>
      <c r="J45" s="99">
        <v>0.03</v>
      </c>
      <c r="K45" s="99">
        <v>2.5000000000000001E-2</v>
      </c>
      <c r="L45" s="98">
        <v>2.5000000000000001E-2</v>
      </c>
      <c r="M45" s="59"/>
    </row>
    <row r="46" spans="1:13" s="2" customFormat="1" ht="15" customHeight="1" outlineLevel="1">
      <c r="B46" s="94" t="s">
        <v>45</v>
      </c>
      <c r="D46" s="93"/>
      <c r="E46" s="93"/>
      <c r="F46" s="74" t="s">
        <v>43</v>
      </c>
      <c r="G46" s="93"/>
      <c r="H46" s="97">
        <v>-4000</v>
      </c>
      <c r="I46" s="96">
        <v>-4000</v>
      </c>
      <c r="J46" s="96">
        <v>-4000</v>
      </c>
      <c r="K46" s="96">
        <v>-4000</v>
      </c>
      <c r="L46" s="95">
        <v>-4000</v>
      </c>
    </row>
    <row r="47" spans="1:13" s="2" customFormat="1" ht="15" customHeight="1" outlineLevel="1">
      <c r="B47" s="94" t="s">
        <v>44</v>
      </c>
      <c r="D47" s="93"/>
      <c r="E47" s="93"/>
      <c r="F47" s="74" t="s">
        <v>43</v>
      </c>
      <c r="G47" s="93"/>
      <c r="H47" s="92">
        <v>-1000</v>
      </c>
      <c r="I47" s="91">
        <v>-1000</v>
      </c>
      <c r="J47" s="91">
        <v>-1000</v>
      </c>
      <c r="K47" s="91">
        <v>-1000</v>
      </c>
      <c r="L47" s="90">
        <v>-1000</v>
      </c>
    </row>
    <row r="48" spans="1:13" s="2" customFormat="1" ht="15" customHeight="1" outlineLevel="1">
      <c r="C48" s="89"/>
      <c r="D48" s="59"/>
      <c r="E48" s="59"/>
      <c r="F48" s="59"/>
      <c r="G48" s="59"/>
      <c r="H48" s="59"/>
      <c r="I48" s="59"/>
      <c r="J48" s="59"/>
      <c r="K48" s="59"/>
      <c r="L48" s="59"/>
      <c r="M48" s="59"/>
    </row>
    <row r="49" spans="1:13" s="2" customFormat="1" ht="15" customHeight="1" outlineLevel="1">
      <c r="C49" s="89"/>
      <c r="D49" s="59"/>
      <c r="E49" s="59"/>
      <c r="F49" s="59"/>
      <c r="G49" s="59"/>
      <c r="H49" s="59"/>
      <c r="I49" s="59"/>
      <c r="J49" s="59"/>
      <c r="K49" s="59"/>
      <c r="L49" s="59"/>
      <c r="M49" s="59"/>
    </row>
    <row r="50" spans="1:13" s="2" customFormat="1" ht="15" customHeight="1" outlineLevel="1">
      <c r="C50" s="89"/>
      <c r="D50" s="59"/>
      <c r="E50" s="59"/>
      <c r="F50" s="59"/>
      <c r="G50" s="59"/>
      <c r="H50" s="59"/>
      <c r="I50" s="59"/>
      <c r="J50" s="59"/>
      <c r="K50" s="59"/>
      <c r="L50" s="59"/>
      <c r="M50" s="59"/>
    </row>
    <row r="51" spans="1:13" ht="15" customHeight="1" outlineLevel="1">
      <c r="A51" s="68"/>
      <c r="B51" s="68"/>
      <c r="C51" s="69" t="s">
        <v>42</v>
      </c>
      <c r="D51" s="16"/>
      <c r="E51" s="16"/>
      <c r="F51" s="16"/>
      <c r="H51" s="77" t="s">
        <v>41</v>
      </c>
      <c r="I51" s="76"/>
      <c r="J51" s="76"/>
      <c r="K51" s="76"/>
      <c r="L51" s="76"/>
    </row>
    <row r="52" spans="1:13" ht="15" customHeight="1" outlineLevel="1">
      <c r="A52" s="68"/>
      <c r="B52" s="68"/>
      <c r="C52" s="66" t="s">
        <v>40</v>
      </c>
      <c r="D52" s="65"/>
      <c r="E52" s="88" t="s">
        <v>39</v>
      </c>
      <c r="F52" s="87">
        <v>2023</v>
      </c>
      <c r="H52" s="75" t="s">
        <v>38</v>
      </c>
      <c r="I52" s="26"/>
      <c r="J52" s="26"/>
      <c r="K52" s="26"/>
      <c r="L52" s="71">
        <v>0.3</v>
      </c>
    </row>
    <row r="53" spans="1:13" ht="15" customHeight="1" outlineLevel="1">
      <c r="A53" s="68"/>
      <c r="B53" s="68"/>
      <c r="C53" s="62" t="s">
        <v>37</v>
      </c>
      <c r="D53" s="86"/>
      <c r="E53" s="85"/>
      <c r="F53" s="84">
        <v>365</v>
      </c>
      <c r="H53" s="75" t="s">
        <v>36</v>
      </c>
      <c r="I53" s="26"/>
      <c r="J53" s="26"/>
      <c r="K53" s="26"/>
      <c r="L53" s="71">
        <v>0.5</v>
      </c>
    </row>
    <row r="54" spans="1:13" ht="15" customHeight="1" outlineLevel="1">
      <c r="A54" s="68"/>
      <c r="B54" s="68"/>
      <c r="C54" s="26"/>
      <c r="D54" s="86"/>
      <c r="E54" s="86"/>
      <c r="F54" s="85"/>
      <c r="G54" s="84"/>
      <c r="H54" s="83" t="s">
        <v>35</v>
      </c>
      <c r="I54" s="82"/>
      <c r="J54" s="81"/>
      <c r="K54" s="80"/>
      <c r="L54" s="79">
        <v>0.15</v>
      </c>
    </row>
    <row r="55" spans="1:13" ht="15" customHeight="1" outlineLevel="1">
      <c r="A55" s="68"/>
      <c r="B55" s="68"/>
      <c r="H55" s="75" t="s">
        <v>34</v>
      </c>
      <c r="I55" s="78"/>
      <c r="J55" s="2"/>
      <c r="K55" s="74" t="str">
        <f>CONCATENATE("(End of ",$H$5-1,")")</f>
        <v>(End of 2022)</v>
      </c>
      <c r="L55" s="72">
        <v>39211</v>
      </c>
    </row>
    <row r="56" spans="1:13" ht="15" customHeight="1" outlineLevel="1">
      <c r="A56" s="68"/>
      <c r="B56" s="68"/>
      <c r="C56" s="77" t="s">
        <v>33</v>
      </c>
      <c r="D56" s="76"/>
      <c r="E56" s="76"/>
      <c r="F56" s="76"/>
      <c r="H56" s="75" t="s">
        <v>32</v>
      </c>
      <c r="I56" s="16"/>
      <c r="J56" s="2"/>
      <c r="K56" s="74" t="str">
        <f>CONCATENATE("(End of ",$H$5-1,")")</f>
        <v>(End of 2022)</v>
      </c>
      <c r="L56" s="73">
        <v>2657</v>
      </c>
      <c r="M56" s="70"/>
    </row>
    <row r="57" spans="1:13" ht="15" customHeight="1" outlineLevel="1">
      <c r="A57" s="68"/>
      <c r="B57" s="68"/>
      <c r="C57" s="62" t="s">
        <v>31</v>
      </c>
      <c r="D57" s="26"/>
      <c r="E57" s="61" t="s">
        <v>30</v>
      </c>
      <c r="F57" s="72">
        <v>1600</v>
      </c>
      <c r="M57" s="70"/>
    </row>
    <row r="58" spans="1:13" ht="15" customHeight="1" outlineLevel="1">
      <c r="A58" s="68"/>
      <c r="B58" s="68"/>
      <c r="C58" s="62" t="s">
        <v>29</v>
      </c>
      <c r="D58" s="26"/>
      <c r="E58" s="26"/>
      <c r="F58" s="71">
        <v>0.2</v>
      </c>
      <c r="M58" s="70"/>
    </row>
    <row r="59" spans="1:13" ht="15" customHeight="1" outlineLevel="1">
      <c r="A59" s="68"/>
      <c r="B59" s="68"/>
      <c r="M59" s="70"/>
    </row>
    <row r="60" spans="1:13" ht="15" customHeight="1" outlineLevel="1">
      <c r="A60" s="68"/>
      <c r="B60" s="68"/>
    </row>
    <row r="61" spans="1:13" ht="15" customHeight="1" outlineLevel="1">
      <c r="A61" s="68"/>
      <c r="B61" s="68"/>
      <c r="C61" s="69" t="s">
        <v>28</v>
      </c>
      <c r="D61" s="16"/>
      <c r="E61" s="16"/>
      <c r="F61" s="16"/>
      <c r="H61" s="69" t="s">
        <v>27</v>
      </c>
      <c r="I61" s="16"/>
      <c r="J61" s="16"/>
      <c r="K61" s="16"/>
    </row>
    <row r="62" spans="1:13" ht="15" customHeight="1" outlineLevel="1">
      <c r="A62" s="68"/>
      <c r="B62" s="68"/>
      <c r="C62" s="66" t="s">
        <v>26</v>
      </c>
      <c r="D62" s="65"/>
      <c r="E62" s="65"/>
      <c r="F62" s="67">
        <v>0.01</v>
      </c>
      <c r="H62" s="66" t="s">
        <v>25</v>
      </c>
      <c r="I62" s="65"/>
      <c r="J62" s="65"/>
      <c r="K62" s="65"/>
      <c r="L62" s="64">
        <v>0.5</v>
      </c>
    </row>
    <row r="63" spans="1:13" s="2" customFormat="1" ht="15" customHeight="1" outlineLevel="1">
      <c r="C63" s="62" t="s">
        <v>24</v>
      </c>
      <c r="D63" s="26"/>
      <c r="E63" s="26"/>
      <c r="F63" s="63">
        <v>0.05</v>
      </c>
      <c r="G63" s="4"/>
      <c r="H63" s="62" t="s">
        <v>23</v>
      </c>
      <c r="I63" s="26"/>
      <c r="J63" s="26"/>
      <c r="K63" s="61" t="s">
        <v>20</v>
      </c>
      <c r="L63" s="60">
        <v>16</v>
      </c>
    </row>
    <row r="64" spans="1:13" s="2" customFormat="1" ht="15" customHeight="1" outlineLevel="1">
      <c r="C64" s="62" t="s">
        <v>22</v>
      </c>
      <c r="D64" s="26"/>
      <c r="E64" s="26"/>
      <c r="F64" s="63">
        <v>0.06</v>
      </c>
      <c r="H64" s="62" t="s">
        <v>21</v>
      </c>
      <c r="I64" s="26"/>
      <c r="J64" s="26"/>
      <c r="K64" s="61" t="s">
        <v>20</v>
      </c>
      <c r="L64" s="60">
        <v>20</v>
      </c>
      <c r="M64" s="59"/>
    </row>
    <row r="65" spans="2:13" s="2" customFormat="1" ht="15" customHeight="1" outlineLevel="1">
      <c r="G65" s="26"/>
      <c r="H65" s="26"/>
      <c r="I65" s="58"/>
      <c r="J65" s="58"/>
      <c r="K65" s="58"/>
      <c r="L65" s="58"/>
    </row>
    <row r="66" spans="2:13" s="2" customFormat="1" ht="15" customHeight="1" outlineLevel="1">
      <c r="C66" s="26"/>
      <c r="D66" s="26"/>
      <c r="E66" s="26"/>
      <c r="F66" s="26"/>
      <c r="G66" s="26"/>
      <c r="H66" s="26"/>
      <c r="I66" s="58"/>
      <c r="J66" s="58"/>
      <c r="K66" s="58"/>
      <c r="L66" s="58"/>
    </row>
    <row r="67" spans="2:13" s="2" customFormat="1" ht="15" customHeight="1" outlineLevel="1">
      <c r="B67" s="55"/>
      <c r="C67" s="57"/>
      <c r="D67" s="57"/>
      <c r="E67" s="57"/>
      <c r="F67" s="57"/>
      <c r="G67" s="57"/>
      <c r="H67" s="57"/>
      <c r="I67" s="56"/>
      <c r="J67" s="56"/>
      <c r="K67" s="56"/>
      <c r="L67" s="56"/>
      <c r="M67" s="55" t="s">
        <v>0</v>
      </c>
    </row>
  </sheetData>
  <conditionalFormatting sqref="C62:F64">
    <cfRule type="containsText" dxfId="15" priority="5" operator="containsText" text="OK">
      <formula>NOT(ISERROR(SEARCH("OK",C62)))</formula>
    </cfRule>
    <cfRule type="containsText" dxfId="14" priority="6" operator="containsText" text="ERROR">
      <formula>NOT(ISERROR(SEARCH("ERROR",C62)))</formula>
    </cfRule>
  </conditionalFormatting>
  <conditionalFormatting sqref="F53">
    <cfRule type="expression" dxfId="13" priority="7">
      <formula>F53=1</formula>
    </cfRule>
  </conditionalFormatting>
  <conditionalFormatting sqref="H8:K23 H36:L56 I2:L2 H6:L7 H29:L30 I31:L32 H33:L34 C56:F58 H62:L64 I65:L67">
    <cfRule type="containsText" dxfId="12" priority="10" operator="containsText" text="OK">
      <formula>NOT(ISERROR(SEARCH("OK",C2)))</formula>
    </cfRule>
  </conditionalFormatting>
  <conditionalFormatting sqref="H24:K28">
    <cfRule type="containsText" dxfId="11" priority="3" operator="containsText" text="OK">
      <formula>NOT(ISERROR(SEARCH("OK",H24)))</formula>
    </cfRule>
    <cfRule type="containsText" dxfId="10" priority="4" operator="containsText" text="ERROR">
      <formula>NOT(ISERROR(SEARCH("ERROR",H24)))</formula>
    </cfRule>
  </conditionalFormatting>
  <conditionalFormatting sqref="H39:K41">
    <cfRule type="containsText" dxfId="9" priority="1" operator="containsText" text="OK">
      <formula>NOT(ISERROR(SEARCH("OK",H39)))</formula>
    </cfRule>
    <cfRule type="containsText" dxfId="8" priority="2" operator="containsText" text="ERROR">
      <formula>NOT(ISERROR(SEARCH("ERROR",H39)))</formula>
    </cfRule>
  </conditionalFormatting>
  <conditionalFormatting sqref="H22:L23 H43:L43 H45:L45">
    <cfRule type="containsText" dxfId="7" priority="8" operator="containsText" text="OK">
      <formula>NOT(ISERROR(SEARCH("OK",H22)))</formula>
    </cfRule>
    <cfRule type="containsText" dxfId="6" priority="9" operator="containsText" text="ERROR">
      <formula>NOT(ISERROR(SEARCH("ERROR",H22)))</formula>
    </cfRule>
  </conditionalFormatting>
  <conditionalFormatting sqref="I2:L2 H6:L7 H8:K23 H29:L30 I31:L32 H33:L34 H36:L56 C56:F58 H62:L64 I65:L67">
    <cfRule type="containsText" dxfId="5" priority="11" operator="containsText" text="ERROR">
      <formula>NOT(ISERROR(SEARCH("ERROR",C2)))</formula>
    </cfRule>
  </conditionalFormatting>
  <printOptions horizontalCentered="1"/>
  <pageMargins left="0.11811023622047245" right="0.11811023622047245" top="0.11811023622047245" bottom="0.11811023622047245" header="0.11811023622047245" footer="0.11811023622047245"/>
  <pageSetup scale="85" orientation="landscape" r:id="rId1"/>
  <headerFooter alignWithMargins="0">
    <oddFooter>&amp;L&amp;"Open Sans,Bold"&amp;10 &amp;K0020603-Statement Modeling&amp;C&amp;"Open Sans,Bold"&amp;10&amp;K002060Page &amp;P of &amp;N&amp;R&amp;G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5" name="Drop Down 1">
              <controlPr defaultSize="0" autoLine="0" autoPict="0">
                <anchor moveWithCells="1" sizeWithCells="1">
                  <from>
                    <xdr:col>3</xdr:col>
                    <xdr:colOff>259080</xdr:colOff>
                    <xdr:row>6</xdr:row>
                    <xdr:rowOff>0</xdr:rowOff>
                  </from>
                  <to>
                    <xdr:col>5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ECE2F-4FA2-48DC-ABC7-C6C7617478D9}">
  <sheetPr>
    <pageSetUpPr autoPageBreaks="0"/>
  </sheetPr>
  <dimension ref="A1:P444"/>
  <sheetViews>
    <sheetView showGridLines="0" zoomScaleNormal="100" zoomScaleSheetLayoutView="90" workbookViewId="0">
      <pane ySplit="1" topLeftCell="A440" activePane="bottomLeft" state="frozen"/>
      <selection activeCell="R427" sqref="R427"/>
      <selection pane="bottomLeft" activeCell="O66" sqref="O66"/>
    </sheetView>
  </sheetViews>
  <sheetFormatPr defaultColWidth="9.109375" defaultRowHeight="15" customHeight="1" outlineLevelRow="1"/>
  <cols>
    <col min="1" max="1" width="9.109375" style="386"/>
    <col min="2" max="2" width="15.88671875" style="386" bestFit="1" customWidth="1"/>
    <col min="3" max="3" width="12.6640625" style="386" customWidth="1"/>
    <col min="4" max="4" width="8.109375" style="386" bestFit="1" customWidth="1"/>
    <col min="5" max="5" width="6.6640625" style="386" customWidth="1"/>
    <col min="6" max="13" width="10.33203125" style="386" customWidth="1"/>
    <col min="14" max="14" width="1.6640625" style="386" customWidth="1"/>
    <col min="15" max="16" width="9.109375" style="386" customWidth="1"/>
    <col min="17" max="16384" width="9.109375" style="386"/>
  </cols>
  <sheetData>
    <row r="1" spans="1:16" s="385" customFormat="1" ht="15" customHeight="1">
      <c r="B1" s="401"/>
      <c r="C1" s="402"/>
      <c r="D1" s="403"/>
      <c r="E1" s="404"/>
      <c r="F1" s="405"/>
      <c r="G1" s="405"/>
      <c r="H1" s="405"/>
      <c r="I1" s="406"/>
      <c r="J1" s="406"/>
      <c r="K1" s="406"/>
      <c r="L1" s="406"/>
      <c r="M1" s="406"/>
      <c r="N1" s="407"/>
      <c r="O1" s="407"/>
    </row>
    <row r="2" spans="1:16" s="412" customFormat="1" ht="15" customHeight="1">
      <c r="A2" s="385" t="s">
        <v>0</v>
      </c>
      <c r="B2" s="408" t="s">
        <v>199</v>
      </c>
      <c r="C2" s="409"/>
      <c r="D2" s="410"/>
      <c r="E2" s="410"/>
      <c r="F2" s="411"/>
      <c r="G2" s="411"/>
      <c r="H2" s="411"/>
      <c r="I2" s="411"/>
      <c r="J2" s="411"/>
      <c r="K2" s="411"/>
      <c r="L2" s="411"/>
      <c r="M2" s="411"/>
    </row>
    <row r="3" spans="1:16" s="412" customFormat="1" ht="15" customHeight="1" outlineLevel="1">
      <c r="B3" s="413"/>
      <c r="C3" s="402"/>
      <c r="D3" s="414"/>
      <c r="E3" s="414"/>
      <c r="F3" s="415"/>
      <c r="G3" s="415"/>
      <c r="H3" s="415"/>
      <c r="I3" s="415"/>
      <c r="J3" s="415"/>
      <c r="K3" s="415"/>
      <c r="L3" s="415"/>
      <c r="M3" s="415"/>
      <c r="P3" s="416"/>
    </row>
    <row r="4" spans="1:16" s="412" customFormat="1" ht="15" customHeight="1" outlineLevel="1" thickBot="1">
      <c r="B4" s="417" t="s">
        <v>15</v>
      </c>
      <c r="C4" s="402"/>
      <c r="D4" s="404"/>
      <c r="E4" s="404"/>
      <c r="F4" s="418">
        <f>G4-1</f>
        <v>2020</v>
      </c>
      <c r="G4" s="418">
        <f>H4-1</f>
        <v>2021</v>
      </c>
      <c r="H4" s="418">
        <f>I4-1</f>
        <v>2022</v>
      </c>
      <c r="I4" s="419">
        <f>Inputs!$F$50</f>
        <v>2023</v>
      </c>
      <c r="J4" s="419">
        <f>I4+1</f>
        <v>2024</v>
      </c>
      <c r="K4" s="419">
        <f>J4+1</f>
        <v>2025</v>
      </c>
      <c r="L4" s="419">
        <f>K4+1</f>
        <v>2026</v>
      </c>
      <c r="M4" s="419">
        <f>L4+1</f>
        <v>2027</v>
      </c>
      <c r="O4" s="420"/>
    </row>
    <row r="5" spans="1:16" ht="15" customHeight="1" outlineLevel="1">
      <c r="A5" s="385"/>
      <c r="B5" s="417" t="str" cm="1">
        <f t="array" ref="B5">CONCATENATE("Model Running: ",INDEX(Inputs!$B$10:$B$12,Inputs!$E$5)," Drivers")</f>
        <v>Model Running: Base Case Drivers</v>
      </c>
      <c r="C5" s="402"/>
      <c r="D5" s="404"/>
      <c r="E5" s="404"/>
      <c r="F5" s="404"/>
      <c r="G5" s="404"/>
      <c r="H5" s="404"/>
      <c r="I5" s="421"/>
      <c r="J5" s="421"/>
      <c r="K5" s="421"/>
      <c r="L5" s="421"/>
      <c r="M5" s="421"/>
      <c r="O5" s="420"/>
    </row>
    <row r="6" spans="1:16" s="412" customFormat="1" ht="15" customHeight="1" outlineLevel="1">
      <c r="B6" s="417"/>
      <c r="C6" s="402"/>
      <c r="D6" s="404"/>
      <c r="E6" s="404"/>
      <c r="F6" s="404"/>
      <c r="G6" s="404"/>
      <c r="H6" s="404"/>
    </row>
    <row r="7" spans="1:16" ht="15" customHeight="1" outlineLevel="1">
      <c r="A7" s="385"/>
      <c r="B7" s="401" t="s">
        <v>151</v>
      </c>
      <c r="C7" s="402"/>
      <c r="D7" s="404"/>
      <c r="E7" s="404"/>
      <c r="F7" s="422">
        <v>2.4E-2</v>
      </c>
      <c r="G7" s="423">
        <v>2.1999999999999999E-2</v>
      </c>
      <c r="H7" s="423">
        <v>2.3E-2</v>
      </c>
      <c r="I7" s="424">
        <f>Inputs!H43</f>
        <v>3.5000000000000003E-2</v>
      </c>
      <c r="J7" s="424">
        <f>Inputs!I43</f>
        <v>0.03</v>
      </c>
      <c r="K7" s="424">
        <f>Inputs!J43</f>
        <v>0.03</v>
      </c>
      <c r="L7" s="424">
        <f>Inputs!K43</f>
        <v>2.5000000000000001E-2</v>
      </c>
      <c r="M7" s="425">
        <f>Inputs!L43</f>
        <v>2.5000000000000001E-2</v>
      </c>
    </row>
    <row r="8" spans="1:16" ht="15" customHeight="1" outlineLevel="1">
      <c r="A8" s="385"/>
      <c r="B8" s="401"/>
      <c r="C8" s="402"/>
      <c r="D8" s="404"/>
      <c r="E8" s="404"/>
      <c r="F8" s="426"/>
      <c r="G8" s="426"/>
      <c r="H8" s="426"/>
      <c r="I8" s="426"/>
      <c r="J8" s="426"/>
      <c r="K8" s="426"/>
      <c r="L8" s="426"/>
      <c r="M8" s="426"/>
    </row>
    <row r="9" spans="1:16" ht="15" customHeight="1" outlineLevel="1">
      <c r="A9" s="385"/>
      <c r="B9" s="401"/>
      <c r="C9" s="402"/>
      <c r="D9" s="404"/>
      <c r="E9" s="404"/>
      <c r="F9" s="426"/>
      <c r="G9" s="426"/>
      <c r="H9" s="426"/>
      <c r="I9" s="426"/>
      <c r="J9" s="426"/>
      <c r="K9" s="426"/>
      <c r="L9" s="426"/>
      <c r="M9" s="426"/>
    </row>
    <row r="10" spans="1:16" s="385" customFormat="1" ht="15" customHeight="1" outlineLevel="1">
      <c r="B10" s="427" t="s">
        <v>13</v>
      </c>
      <c r="D10" s="404"/>
      <c r="F10" s="428">
        <v>50589</v>
      </c>
      <c r="G10" s="428">
        <v>51647.864999999998</v>
      </c>
      <c r="H10" s="428">
        <v>53760.85</v>
      </c>
      <c r="I10" s="429">
        <f>I150</f>
        <v>56481.149010000008</v>
      </c>
      <c r="J10" s="429">
        <f t="shared" ref="J10:M10" si="0">J150</f>
        <v>57616.420105101002</v>
      </c>
      <c r="K10" s="429">
        <f t="shared" si="0"/>
        <v>58774.510149213551</v>
      </c>
      <c r="L10" s="429">
        <f t="shared" si="0"/>
        <v>59659.066526959199</v>
      </c>
      <c r="M10" s="429">
        <f t="shared" si="0"/>
        <v>60257.148668891954</v>
      </c>
      <c r="O10" s="430"/>
      <c r="P10" s="416"/>
    </row>
    <row r="11" spans="1:16" s="385" customFormat="1" ht="15" customHeight="1" outlineLevel="1">
      <c r="B11" s="427" t="s">
        <v>137</v>
      </c>
      <c r="F11" s="431">
        <v>-24544.3</v>
      </c>
      <c r="G11" s="431">
        <v>-25104.0144</v>
      </c>
      <c r="H11" s="431">
        <v>-25779.4015</v>
      </c>
      <c r="I11" s="432">
        <f>I196*-1</f>
        <v>-26798.04356355</v>
      </c>
      <c r="J11" s="432">
        <f t="shared" ref="J11:M11" si="1">J196*-1</f>
        <v>-27663.110360161067</v>
      </c>
      <c r="K11" s="432">
        <f t="shared" si="1"/>
        <v>-28556.592517905559</v>
      </c>
      <c r="L11" s="432">
        <f t="shared" si="1"/>
        <v>-29303.422507750336</v>
      </c>
      <c r="M11" s="432">
        <f t="shared" si="1"/>
        <v>-30069.914817045261</v>
      </c>
      <c r="O11" s="430"/>
      <c r="P11" s="416"/>
    </row>
    <row r="12" spans="1:16" s="385" customFormat="1" ht="15" customHeight="1" outlineLevel="1">
      <c r="B12" s="433" t="s">
        <v>198</v>
      </c>
      <c r="C12" s="434"/>
      <c r="F12" s="435">
        <v>26044.7</v>
      </c>
      <c r="G12" s="435">
        <v>26543.850599999998</v>
      </c>
      <c r="H12" s="435">
        <v>27981.448499999999</v>
      </c>
      <c r="I12" s="436">
        <f>SUM(I10:I11)</f>
        <v>29683.105446450008</v>
      </c>
      <c r="J12" s="436">
        <f t="shared" ref="J12:M12" si="2">SUM(J10:J11)</f>
        <v>29953.309744939936</v>
      </c>
      <c r="K12" s="436">
        <f t="shared" si="2"/>
        <v>30217.917631307992</v>
      </c>
      <c r="L12" s="436">
        <f t="shared" si="2"/>
        <v>30355.644019208863</v>
      </c>
      <c r="M12" s="436">
        <f t="shared" si="2"/>
        <v>30187.233851846693</v>
      </c>
      <c r="O12" s="430"/>
      <c r="P12" s="416"/>
    </row>
    <row r="13" spans="1:16" s="385" customFormat="1" ht="15" customHeight="1" outlineLevel="1">
      <c r="B13" s="433"/>
      <c r="C13" s="434"/>
      <c r="F13" s="437"/>
      <c r="G13" s="437"/>
      <c r="H13" s="437"/>
      <c r="I13" s="438"/>
      <c r="J13" s="438"/>
      <c r="K13" s="438"/>
      <c r="L13" s="438"/>
      <c r="M13" s="438"/>
      <c r="P13" s="407"/>
    </row>
    <row r="14" spans="1:16" s="385" customFormat="1" ht="15" customHeight="1" outlineLevel="1">
      <c r="B14" s="427"/>
      <c r="F14" s="437"/>
      <c r="G14" s="437"/>
      <c r="H14" s="437"/>
      <c r="I14" s="439"/>
      <c r="J14" s="439"/>
      <c r="K14" s="439"/>
      <c r="L14" s="439"/>
      <c r="M14" s="440"/>
    </row>
    <row r="15" spans="1:16" s="385" customFormat="1" ht="15" customHeight="1" outlineLevel="1">
      <c r="B15" s="427" t="s">
        <v>197</v>
      </c>
      <c r="F15" s="428">
        <v>-5877</v>
      </c>
      <c r="G15" s="428">
        <v>-6006</v>
      </c>
      <c r="H15" s="428">
        <v>-6144</v>
      </c>
      <c r="I15" s="441">
        <f>H15*(1+I7)</f>
        <v>-6359.0399999999991</v>
      </c>
      <c r="J15" s="441">
        <f t="shared" ref="J15:M15" si="3">I15*(1+J7)</f>
        <v>-6549.8111999999992</v>
      </c>
      <c r="K15" s="441">
        <f t="shared" si="3"/>
        <v>-6746.3055359999989</v>
      </c>
      <c r="L15" s="441">
        <f t="shared" si="3"/>
        <v>-6914.963174399998</v>
      </c>
      <c r="M15" s="441">
        <f t="shared" si="3"/>
        <v>-7087.8372537599971</v>
      </c>
      <c r="O15" s="430"/>
    </row>
    <row r="16" spans="1:16" s="385" customFormat="1" ht="15" customHeight="1" outlineLevel="1">
      <c r="B16" s="427" t="s">
        <v>196</v>
      </c>
      <c r="F16" s="431">
        <v>-1764</v>
      </c>
      <c r="G16" s="431">
        <v>-1931</v>
      </c>
      <c r="H16" s="431">
        <v>-2026</v>
      </c>
      <c r="I16" s="442">
        <f>H16*(1+I7)</f>
        <v>-2096.91</v>
      </c>
      <c r="J16" s="442">
        <f t="shared" ref="J16:M16" si="4">I16*(1+J7)</f>
        <v>-2159.8172999999997</v>
      </c>
      <c r="K16" s="442">
        <f t="shared" si="4"/>
        <v>-2224.6118189999997</v>
      </c>
      <c r="L16" s="442">
        <f t="shared" si="4"/>
        <v>-2280.2271144749993</v>
      </c>
      <c r="M16" s="442">
        <f t="shared" si="4"/>
        <v>-2337.2327923368739</v>
      </c>
      <c r="O16" s="430"/>
    </row>
    <row r="17" spans="2:16" s="385" customFormat="1" ht="15" customHeight="1" outlineLevel="1">
      <c r="B17" s="433" t="s">
        <v>12</v>
      </c>
      <c r="C17" s="434"/>
      <c r="F17" s="435">
        <v>18403.7</v>
      </c>
      <c r="G17" s="435">
        <v>18606.850599999998</v>
      </c>
      <c r="H17" s="435">
        <v>19811.448499999999</v>
      </c>
      <c r="I17" s="436">
        <f>I12+I15+I16</f>
        <v>21227.155446450011</v>
      </c>
      <c r="J17" s="436">
        <f t="shared" ref="J17:M17" si="5">J12+J15+J16</f>
        <v>21243.681244939937</v>
      </c>
      <c r="K17" s="436">
        <f t="shared" si="5"/>
        <v>21247.00027630799</v>
      </c>
      <c r="L17" s="436">
        <f t="shared" si="5"/>
        <v>21160.453730333866</v>
      </c>
      <c r="M17" s="436">
        <f t="shared" si="5"/>
        <v>20762.16380574982</v>
      </c>
      <c r="O17" s="430"/>
      <c r="P17" s="416"/>
    </row>
    <row r="18" spans="2:16" s="385" customFormat="1" ht="15" customHeight="1" outlineLevel="1">
      <c r="B18" s="433"/>
      <c r="C18" s="434"/>
      <c r="F18" s="437"/>
      <c r="G18" s="437"/>
      <c r="H18" s="437"/>
      <c r="I18" s="438"/>
      <c r="J18" s="438"/>
      <c r="K18" s="438"/>
      <c r="L18" s="438"/>
      <c r="M18" s="438"/>
    </row>
    <row r="19" spans="2:16" s="385" customFormat="1" ht="15" customHeight="1" outlineLevel="1">
      <c r="B19" s="427"/>
      <c r="F19" s="435"/>
      <c r="G19" s="435"/>
      <c r="H19" s="435"/>
      <c r="I19" s="438"/>
      <c r="J19" s="438"/>
      <c r="K19" s="438"/>
      <c r="L19" s="438"/>
      <c r="M19" s="438"/>
    </row>
    <row r="20" spans="2:16" s="385" customFormat="1" ht="15" customHeight="1" outlineLevel="1">
      <c r="B20" s="427" t="s">
        <v>27</v>
      </c>
      <c r="F20" s="431">
        <v>-2960</v>
      </c>
      <c r="G20" s="431">
        <v>-3196</v>
      </c>
      <c r="H20" s="431">
        <v>-3452</v>
      </c>
      <c r="I20" s="442">
        <f>I270*-1</f>
        <v>-5349.8125</v>
      </c>
      <c r="J20" s="442">
        <f t="shared" ref="J20:M20" si="6">J270*-1</f>
        <v>-6162.9375</v>
      </c>
      <c r="K20" s="442">
        <f t="shared" si="6"/>
        <v>-6521.0625</v>
      </c>
      <c r="L20" s="442">
        <f t="shared" si="6"/>
        <v>-6882.9375</v>
      </c>
      <c r="M20" s="442">
        <f t="shared" si="6"/>
        <v>-7255.125</v>
      </c>
      <c r="O20" s="430"/>
    </row>
    <row r="21" spans="2:16" s="385" customFormat="1" ht="15" customHeight="1" outlineLevel="1">
      <c r="B21" s="433" t="s">
        <v>195</v>
      </c>
      <c r="C21" s="434"/>
      <c r="F21" s="435">
        <v>15443.7</v>
      </c>
      <c r="G21" s="435">
        <v>15410.850599999998</v>
      </c>
      <c r="H21" s="435">
        <v>16359.448499999999</v>
      </c>
      <c r="I21" s="436">
        <f>I17+I20</f>
        <v>15877.342946450011</v>
      </c>
      <c r="J21" s="436">
        <f t="shared" ref="J21:M21" si="7">J17+J20</f>
        <v>15080.743744939937</v>
      </c>
      <c r="K21" s="436">
        <f t="shared" si="7"/>
        <v>14725.93777630799</v>
      </c>
      <c r="L21" s="436">
        <f t="shared" si="7"/>
        <v>14277.516230333866</v>
      </c>
      <c r="M21" s="436">
        <f t="shared" si="7"/>
        <v>13507.03880574982</v>
      </c>
      <c r="O21" s="430"/>
      <c r="P21" s="416"/>
    </row>
    <row r="22" spans="2:16" s="385" customFormat="1" ht="15" customHeight="1" outlineLevel="1">
      <c r="B22" s="433"/>
      <c r="C22" s="434"/>
      <c r="F22" s="435"/>
      <c r="G22" s="435"/>
      <c r="H22" s="435"/>
      <c r="I22" s="438"/>
      <c r="J22" s="438"/>
      <c r="K22" s="438"/>
      <c r="L22" s="438"/>
      <c r="M22" s="438"/>
    </row>
    <row r="23" spans="2:16" s="385" customFormat="1" ht="15" customHeight="1" outlineLevel="1">
      <c r="B23" s="433"/>
      <c r="C23" s="434"/>
      <c r="F23" s="435"/>
      <c r="G23" s="435"/>
      <c r="H23" s="435"/>
      <c r="I23" s="438"/>
      <c r="J23" s="438"/>
      <c r="K23" s="438"/>
      <c r="L23" s="438"/>
      <c r="M23" s="438"/>
    </row>
    <row r="24" spans="2:16" s="385" customFormat="1" ht="15" customHeight="1" outlineLevel="1">
      <c r="B24" s="427" t="s">
        <v>71</v>
      </c>
      <c r="F24" s="428">
        <v>-1688</v>
      </c>
      <c r="G24" s="428">
        <v>-2200</v>
      </c>
      <c r="H24" s="428">
        <v>-2350</v>
      </c>
      <c r="I24" s="429">
        <f ca="1">I410*-1</f>
        <v>-1268.2208283720142</v>
      </c>
      <c r="J24" s="429">
        <f t="shared" ref="J24:M24" ca="1" si="8">J410*-1</f>
        <v>-1149.441306715418</v>
      </c>
      <c r="K24" s="429">
        <f t="shared" ca="1" si="8"/>
        <v>-776.72668385566999</v>
      </c>
      <c r="L24" s="429">
        <f t="shared" ca="1" si="8"/>
        <v>-415.50620551226632</v>
      </c>
      <c r="M24" s="429">
        <f t="shared" ca="1" si="8"/>
        <v>-120</v>
      </c>
      <c r="O24" s="430"/>
    </row>
    <row r="25" spans="2:16" s="385" customFormat="1" ht="15" customHeight="1" outlineLevel="1">
      <c r="B25" s="427" t="s">
        <v>83</v>
      </c>
      <c r="F25" s="431">
        <v>200</v>
      </c>
      <c r="G25" s="431">
        <v>180</v>
      </c>
      <c r="H25" s="431">
        <v>193</v>
      </c>
      <c r="I25" s="432">
        <f ca="1">I362</f>
        <v>42.049995499999994</v>
      </c>
      <c r="J25" s="432">
        <f t="shared" ref="J25:M25" ca="1" si="9">J362</f>
        <v>0</v>
      </c>
      <c r="K25" s="432">
        <f t="shared" ca="1" si="9"/>
        <v>0</v>
      </c>
      <c r="L25" s="432">
        <f t="shared" ca="1" si="9"/>
        <v>3.2400085865612254</v>
      </c>
      <c r="M25" s="432">
        <f t="shared" ca="1" si="9"/>
        <v>18.331224070553958</v>
      </c>
      <c r="O25" s="430"/>
    </row>
    <row r="26" spans="2:16" s="385" customFormat="1" ht="15" customHeight="1" outlineLevel="1">
      <c r="B26" s="433" t="s">
        <v>103</v>
      </c>
      <c r="C26" s="434"/>
      <c r="F26" s="435">
        <v>13955.7</v>
      </c>
      <c r="G26" s="435">
        <v>13390.850599999998</v>
      </c>
      <c r="H26" s="435">
        <v>14202.448499999999</v>
      </c>
      <c r="I26" s="436">
        <f ca="1">I21+I24+I25</f>
        <v>14651.172113577997</v>
      </c>
      <c r="J26" s="436">
        <f t="shared" ref="J26:M26" ca="1" si="10">J21+J24+J25</f>
        <v>13931.302438224518</v>
      </c>
      <c r="K26" s="436">
        <f t="shared" ca="1" si="10"/>
        <v>13949.21109245232</v>
      </c>
      <c r="L26" s="436">
        <f t="shared" ca="1" si="10"/>
        <v>13865.25003340816</v>
      </c>
      <c r="M26" s="436">
        <f t="shared" ca="1" si="10"/>
        <v>13405.370029820375</v>
      </c>
      <c r="O26" s="430"/>
      <c r="P26" s="416"/>
    </row>
    <row r="27" spans="2:16" s="385" customFormat="1" ht="15" customHeight="1" outlineLevel="1">
      <c r="B27" s="433"/>
      <c r="C27" s="434"/>
      <c r="F27" s="435"/>
      <c r="G27" s="435"/>
      <c r="H27" s="435"/>
      <c r="I27" s="438"/>
      <c r="J27" s="438"/>
      <c r="K27" s="438"/>
      <c r="L27" s="438"/>
      <c r="M27" s="438"/>
    </row>
    <row r="28" spans="2:16" s="385" customFormat="1" ht="15" customHeight="1" outlineLevel="1">
      <c r="B28" s="433"/>
      <c r="C28" s="434"/>
      <c r="F28" s="435"/>
      <c r="G28" s="435"/>
      <c r="H28" s="435"/>
      <c r="I28" s="438"/>
      <c r="J28" s="438"/>
      <c r="K28" s="438"/>
      <c r="L28" s="438"/>
      <c r="M28" s="438"/>
    </row>
    <row r="29" spans="2:16" s="385" customFormat="1" ht="15" customHeight="1" outlineLevel="1">
      <c r="B29" s="427" t="s">
        <v>194</v>
      </c>
      <c r="F29" s="428">
        <v>0</v>
      </c>
      <c r="G29" s="428">
        <v>0</v>
      </c>
      <c r="H29" s="428">
        <v>0</v>
      </c>
      <c r="I29" s="429">
        <f ca="1">I339*-1</f>
        <v>-2865.5128840733987</v>
      </c>
      <c r="J29" s="429">
        <f t="shared" ref="J29:M29" ca="1" si="11">J339*-1</f>
        <v>-3309.4293564673558</v>
      </c>
      <c r="K29" s="429">
        <f t="shared" ca="1" si="11"/>
        <v>-3507.7533464856965</v>
      </c>
      <c r="L29" s="429">
        <f t="shared" ca="1" si="11"/>
        <v>-3660.4393384599484</v>
      </c>
      <c r="M29" s="429">
        <f t="shared" ca="1" si="11"/>
        <v>-3683.7653756179884</v>
      </c>
      <c r="O29" s="430"/>
    </row>
    <row r="30" spans="2:16" s="385" customFormat="1" ht="15" customHeight="1" outlineLevel="1">
      <c r="B30" s="427" t="s">
        <v>193</v>
      </c>
      <c r="F30" s="431">
        <v>-3155</v>
      </c>
      <c r="G30" s="431">
        <v>-2861</v>
      </c>
      <c r="H30" s="431">
        <v>-3012</v>
      </c>
      <c r="I30" s="432">
        <f ca="1">I340*-1</f>
        <v>-1529.8387499999999</v>
      </c>
      <c r="J30" s="432">
        <f t="shared" ref="J30:M30" ca="1" si="12">J340*-1</f>
        <v>-869.96137499999941</v>
      </c>
      <c r="K30" s="432">
        <f t="shared" ca="1" si="12"/>
        <v>-677.00998124999978</v>
      </c>
      <c r="L30" s="432">
        <f t="shared" ca="1" si="12"/>
        <v>-499.13567156249928</v>
      </c>
      <c r="M30" s="432">
        <f t="shared" ca="1" si="12"/>
        <v>-337.84563332812377</v>
      </c>
      <c r="O30" s="430"/>
    </row>
    <row r="31" spans="2:16" s="385" customFormat="1" ht="15" customHeight="1" outlineLevel="1">
      <c r="B31" s="427" t="s">
        <v>192</v>
      </c>
      <c r="F31" s="428">
        <v>-3155</v>
      </c>
      <c r="G31" s="428">
        <v>-2861</v>
      </c>
      <c r="H31" s="428">
        <v>-3012</v>
      </c>
      <c r="I31" s="429">
        <f ca="1">+I29+I30</f>
        <v>-4395.3516340733986</v>
      </c>
      <c r="J31" s="429">
        <f t="shared" ref="J31:M31" ca="1" si="13">+J29+J30</f>
        <v>-4179.3907314673552</v>
      </c>
      <c r="K31" s="429">
        <f t="shared" ca="1" si="13"/>
        <v>-4184.7633277356963</v>
      </c>
      <c r="L31" s="429">
        <f t="shared" ca="1" si="13"/>
        <v>-4159.5750100224477</v>
      </c>
      <c r="M31" s="429">
        <f t="shared" ca="1" si="13"/>
        <v>-4021.6110089461122</v>
      </c>
      <c r="O31" s="430"/>
      <c r="P31" s="416"/>
    </row>
    <row r="32" spans="2:16" s="385" customFormat="1" ht="15" customHeight="1" outlineLevel="1">
      <c r="B32" s="427"/>
      <c r="F32" s="428"/>
      <c r="G32" s="428"/>
      <c r="H32" s="428"/>
      <c r="I32" s="443"/>
      <c r="J32" s="443"/>
      <c r="K32" s="443"/>
      <c r="L32" s="443"/>
      <c r="M32" s="443"/>
    </row>
    <row r="33" spans="1:16" s="385" customFormat="1" ht="15" customHeight="1" outlineLevel="1">
      <c r="B33" s="427"/>
      <c r="F33" s="428"/>
      <c r="G33" s="428"/>
      <c r="H33" s="428"/>
      <c r="I33" s="443"/>
      <c r="J33" s="443"/>
      <c r="K33" s="443"/>
      <c r="L33" s="443"/>
      <c r="M33" s="443"/>
    </row>
    <row r="34" spans="1:16" s="385" customFormat="1" ht="15" customHeight="1" outlineLevel="1" thickBot="1">
      <c r="B34" s="433" t="s">
        <v>10</v>
      </c>
      <c r="C34" s="434"/>
      <c r="F34" s="444">
        <v>10800.7</v>
      </c>
      <c r="G34" s="444">
        <v>10529.850599999998</v>
      </c>
      <c r="H34" s="444">
        <v>11190.448499999999</v>
      </c>
      <c r="I34" s="445">
        <f ca="1">I26+I31</f>
        <v>10255.820479504599</v>
      </c>
      <c r="J34" s="445">
        <f t="shared" ref="J34:M34" ca="1" si="14">J26+J31</f>
        <v>9751.9117067571642</v>
      </c>
      <c r="K34" s="445">
        <f t="shared" ca="1" si="14"/>
        <v>9764.4477647166241</v>
      </c>
      <c r="L34" s="445">
        <f t="shared" ca="1" si="14"/>
        <v>9705.6750233857128</v>
      </c>
      <c r="M34" s="445">
        <f t="shared" ca="1" si="14"/>
        <v>9383.7590208742622</v>
      </c>
      <c r="O34" s="430"/>
      <c r="P34" s="416"/>
    </row>
    <row r="35" spans="1:16" s="385" customFormat="1" ht="15" customHeight="1" outlineLevel="1">
      <c r="B35" s="434"/>
      <c r="C35" s="434"/>
      <c r="F35" s="446"/>
      <c r="G35" s="446"/>
      <c r="H35" s="446"/>
      <c r="I35" s="446"/>
      <c r="J35" s="446"/>
      <c r="K35" s="446"/>
      <c r="L35" s="446"/>
      <c r="M35" s="446"/>
    </row>
    <row r="36" spans="1:16" s="385" customFormat="1" ht="15" customHeight="1" outlineLevel="1">
      <c r="B36" s="447"/>
      <c r="C36" s="447"/>
      <c r="D36" s="396"/>
      <c r="E36" s="396"/>
      <c r="F36" s="448"/>
      <c r="G36" s="448"/>
      <c r="H36" s="448"/>
      <c r="I36" s="448"/>
      <c r="J36" s="448"/>
      <c r="K36" s="448"/>
      <c r="L36" s="448"/>
      <c r="M36" s="448"/>
    </row>
    <row r="37" spans="1:16" s="385" customFormat="1" ht="15" customHeight="1">
      <c r="B37" s="401"/>
      <c r="C37" s="398"/>
      <c r="D37" s="403"/>
      <c r="F37" s="449"/>
      <c r="G37" s="449"/>
      <c r="H37" s="449"/>
      <c r="I37" s="449"/>
      <c r="J37" s="449"/>
      <c r="K37" s="449"/>
      <c r="L37" s="449"/>
      <c r="M37" s="449"/>
      <c r="N37" s="407"/>
      <c r="O37" s="407"/>
    </row>
    <row r="38" spans="1:16" s="412" customFormat="1" ht="15" customHeight="1">
      <c r="A38" s="385" t="s">
        <v>0</v>
      </c>
      <c r="B38" s="408" t="s">
        <v>191</v>
      </c>
      <c r="C38" s="409"/>
      <c r="D38" s="410"/>
      <c r="E38" s="410"/>
      <c r="F38" s="411"/>
      <c r="G38" s="411"/>
      <c r="H38" s="411"/>
      <c r="I38" s="411"/>
      <c r="J38" s="411"/>
      <c r="K38" s="411"/>
      <c r="L38" s="411"/>
      <c r="M38" s="411"/>
      <c r="P38" s="416"/>
    </row>
    <row r="39" spans="1:16" s="412" customFormat="1" ht="15" customHeight="1" outlineLevel="1">
      <c r="B39" s="413"/>
      <c r="C39" s="402"/>
      <c r="D39" s="414"/>
      <c r="E39" s="414"/>
      <c r="F39" s="415"/>
      <c r="G39" s="415"/>
      <c r="H39" s="415"/>
      <c r="I39" s="415"/>
      <c r="J39" s="415"/>
      <c r="K39" s="415"/>
      <c r="L39" s="415"/>
      <c r="M39" s="415"/>
    </row>
    <row r="40" spans="1:16" s="412" customFormat="1" ht="15" customHeight="1" outlineLevel="1" thickBot="1">
      <c r="B40" s="417" t="s">
        <v>15</v>
      </c>
      <c r="C40" s="402"/>
      <c r="D40" s="404"/>
      <c r="E40" s="404"/>
      <c r="F40" s="418">
        <f t="shared" ref="F40:M40" si="15">F$4</f>
        <v>2020</v>
      </c>
      <c r="G40" s="418">
        <f t="shared" si="15"/>
        <v>2021</v>
      </c>
      <c r="H40" s="418">
        <f t="shared" si="15"/>
        <v>2022</v>
      </c>
      <c r="I40" s="419">
        <f t="shared" si="15"/>
        <v>2023</v>
      </c>
      <c r="J40" s="419">
        <f t="shared" si="15"/>
        <v>2024</v>
      </c>
      <c r="K40" s="419">
        <f t="shared" si="15"/>
        <v>2025</v>
      </c>
      <c r="L40" s="419">
        <f t="shared" si="15"/>
        <v>2026</v>
      </c>
      <c r="M40" s="419">
        <f t="shared" si="15"/>
        <v>2027</v>
      </c>
    </row>
    <row r="41" spans="1:16" ht="15" customHeight="1" outlineLevel="1">
      <c r="A41" s="385"/>
      <c r="B41" s="417" t="str">
        <f>B$5</f>
        <v>Model Running: Base Case Drivers</v>
      </c>
      <c r="C41" s="402"/>
      <c r="D41" s="404"/>
      <c r="E41" s="404"/>
      <c r="F41" s="404"/>
      <c r="G41" s="404"/>
      <c r="H41" s="404"/>
      <c r="I41" s="421"/>
      <c r="J41" s="421"/>
      <c r="K41" s="421"/>
      <c r="L41" s="421"/>
      <c r="M41" s="421"/>
      <c r="P41" s="407"/>
    </row>
    <row r="42" spans="1:16" s="412" customFormat="1" ht="15" customHeight="1" outlineLevel="1">
      <c r="B42" s="417"/>
      <c r="C42" s="402"/>
      <c r="D42" s="404"/>
      <c r="E42" s="404"/>
      <c r="F42" s="404"/>
      <c r="G42" s="404"/>
      <c r="H42" s="404"/>
      <c r="P42" s="407"/>
    </row>
    <row r="43" spans="1:16" s="412" customFormat="1" ht="15" customHeight="1" outlineLevel="1">
      <c r="B43" s="417"/>
      <c r="C43" s="402"/>
      <c r="D43" s="404"/>
      <c r="E43" s="404"/>
      <c r="F43" s="404"/>
      <c r="G43" s="404"/>
      <c r="H43" s="404"/>
      <c r="P43" s="407"/>
    </row>
    <row r="44" spans="1:16" ht="15" customHeight="1" outlineLevel="1">
      <c r="A44" s="385"/>
      <c r="B44" s="434" t="s">
        <v>190</v>
      </c>
      <c r="C44" s="434"/>
      <c r="F44" s="450"/>
      <c r="G44" s="450"/>
      <c r="H44" s="450"/>
      <c r="I44" s="451"/>
      <c r="J44" s="451"/>
      <c r="K44" s="451"/>
      <c r="M44" s="452"/>
      <c r="P44" s="407"/>
    </row>
    <row r="45" spans="1:16" ht="15" customHeight="1" outlineLevel="1">
      <c r="A45" s="385"/>
      <c r="B45" s="453" t="s">
        <v>10</v>
      </c>
      <c r="C45" s="453"/>
      <c r="F45" s="387">
        <v>10800.7</v>
      </c>
      <c r="G45" s="387">
        <v>10529.850599999998</v>
      </c>
      <c r="H45" s="387">
        <v>11190.448499999999</v>
      </c>
      <c r="I45" s="454">
        <f ca="1">I34</f>
        <v>10255.820479504599</v>
      </c>
      <c r="J45" s="454">
        <f t="shared" ref="J45:M45" ca="1" si="16">J34</f>
        <v>9751.9117067571642</v>
      </c>
      <c r="K45" s="454">
        <f t="shared" ca="1" si="16"/>
        <v>9764.4477647166241</v>
      </c>
      <c r="L45" s="454">
        <f t="shared" ca="1" si="16"/>
        <v>9705.6750233857128</v>
      </c>
      <c r="M45" s="454">
        <f t="shared" ca="1" si="16"/>
        <v>9383.7590208742622</v>
      </c>
      <c r="O45" s="430"/>
      <c r="P45" s="416"/>
    </row>
    <row r="46" spans="1:16" ht="15" customHeight="1" outlineLevel="1">
      <c r="A46" s="385"/>
      <c r="B46" s="453" t="s">
        <v>89</v>
      </c>
      <c r="C46" s="453"/>
      <c r="F46" s="387">
        <v>3155</v>
      </c>
      <c r="G46" s="387">
        <v>2861</v>
      </c>
      <c r="H46" s="387">
        <v>3012</v>
      </c>
      <c r="I46" s="454">
        <f ca="1">I30*-1</f>
        <v>1529.8387499999999</v>
      </c>
      <c r="J46" s="454">
        <f t="shared" ref="J46:M46" ca="1" si="17">J30*-1</f>
        <v>869.96137499999941</v>
      </c>
      <c r="K46" s="454">
        <f t="shared" ca="1" si="17"/>
        <v>677.00998124999978</v>
      </c>
      <c r="L46" s="454">
        <f t="shared" ca="1" si="17"/>
        <v>499.13567156249928</v>
      </c>
      <c r="M46" s="454">
        <f t="shared" ca="1" si="17"/>
        <v>337.84563332812377</v>
      </c>
      <c r="O46" s="430"/>
      <c r="P46" s="416"/>
    </row>
    <row r="47" spans="1:16" ht="15" customHeight="1" outlineLevel="1">
      <c r="A47" s="385"/>
      <c r="B47" s="453" t="s">
        <v>27</v>
      </c>
      <c r="C47" s="453"/>
      <c r="F47" s="387">
        <v>2960</v>
      </c>
      <c r="G47" s="387">
        <v>3196</v>
      </c>
      <c r="H47" s="387">
        <v>3452</v>
      </c>
      <c r="I47" s="454">
        <f>I20*-1</f>
        <v>5349.8125</v>
      </c>
      <c r="J47" s="454">
        <f t="shared" ref="J47:M47" si="18">J20*-1</f>
        <v>6162.9375</v>
      </c>
      <c r="K47" s="454">
        <f t="shared" si="18"/>
        <v>6521.0625</v>
      </c>
      <c r="L47" s="454">
        <f t="shared" si="18"/>
        <v>6882.9375</v>
      </c>
      <c r="M47" s="454">
        <f t="shared" si="18"/>
        <v>7255.125</v>
      </c>
      <c r="O47" s="430"/>
      <c r="P47" s="416"/>
    </row>
    <row r="48" spans="1:16" ht="15" customHeight="1" outlineLevel="1">
      <c r="A48" s="385"/>
      <c r="B48" s="455" t="s">
        <v>189</v>
      </c>
      <c r="C48" s="453"/>
      <c r="F48" s="387">
        <v>-600</v>
      </c>
      <c r="G48" s="387">
        <v>-625</v>
      </c>
      <c r="H48" s="387">
        <v>-291</v>
      </c>
      <c r="I48" s="454">
        <f>I225</f>
        <v>-339.42933000000085</v>
      </c>
      <c r="J48" s="454">
        <f t="shared" ref="J48:M48" si="19">J225</f>
        <v>-139.96492953299912</v>
      </c>
      <c r="K48" s="454">
        <f t="shared" si="19"/>
        <v>-142.77822461661526</v>
      </c>
      <c r="L48" s="454">
        <f t="shared" si="19"/>
        <v>-109.05489588645014</v>
      </c>
      <c r="M48" s="454">
        <f t="shared" si="19"/>
        <v>-73.736154484859981</v>
      </c>
      <c r="O48" s="430"/>
      <c r="P48" s="407"/>
    </row>
    <row r="49" spans="1:16" ht="15" customHeight="1" outlineLevel="1">
      <c r="A49" s="385"/>
      <c r="B49" s="455" t="s">
        <v>188</v>
      </c>
      <c r="C49" s="453"/>
      <c r="F49" s="387">
        <v>-400</v>
      </c>
      <c r="G49" s="387">
        <v>-131</v>
      </c>
      <c r="H49" s="387">
        <v>-86</v>
      </c>
      <c r="I49" s="454">
        <f>I226</f>
        <v>173.51756414041097</v>
      </c>
      <c r="J49" s="454">
        <f t="shared" ref="J49:M49" si="20">J226</f>
        <v>-59.251150452812681</v>
      </c>
      <c r="K49" s="454">
        <f t="shared" si="20"/>
        <v>-61.197408064691217</v>
      </c>
      <c r="L49" s="454">
        <f t="shared" si="20"/>
        <v>-51.152739030464318</v>
      </c>
      <c r="M49" s="454">
        <f t="shared" si="20"/>
        <v>-52.499473239378403</v>
      </c>
      <c r="O49" s="430"/>
      <c r="P49" s="407"/>
    </row>
    <row r="50" spans="1:16" ht="15" customHeight="1" outlineLevel="1">
      <c r="A50" s="385"/>
      <c r="B50" s="455" t="s">
        <v>187</v>
      </c>
      <c r="C50" s="453"/>
      <c r="F50" s="387">
        <v>-260</v>
      </c>
      <c r="G50" s="387">
        <v>181</v>
      </c>
      <c r="H50" s="387">
        <v>114</v>
      </c>
      <c r="I50" s="454">
        <f>I227</f>
        <v>-382.22810262465782</v>
      </c>
      <c r="J50" s="454">
        <f t="shared" ref="J50:M50" si="21">J227</f>
        <v>94.80184072450038</v>
      </c>
      <c r="K50" s="454">
        <f t="shared" si="21"/>
        <v>97.91585290350622</v>
      </c>
      <c r="L50" s="454">
        <f t="shared" si="21"/>
        <v>81.844382448742635</v>
      </c>
      <c r="M50" s="454">
        <f t="shared" si="21"/>
        <v>83.999157183005536</v>
      </c>
      <c r="O50" s="430"/>
      <c r="P50" s="407"/>
    </row>
    <row r="51" spans="1:16" ht="15" customHeight="1" outlineLevel="1">
      <c r="A51" s="385"/>
      <c r="B51" s="453" t="s">
        <v>144</v>
      </c>
      <c r="C51" s="453"/>
      <c r="F51" s="456">
        <v>15655.7</v>
      </c>
      <c r="G51" s="456">
        <v>16011.850599999998</v>
      </c>
      <c r="H51" s="456">
        <v>17391.448499999999</v>
      </c>
      <c r="I51" s="457">
        <f ca="1">SUM(I45:I50)</f>
        <v>16587.331861020353</v>
      </c>
      <c r="J51" s="457">
        <f t="shared" ref="J51:M51" ca="1" si="22">SUM(J45:J50)</f>
        <v>16680.396342495853</v>
      </c>
      <c r="K51" s="457">
        <f t="shared" ca="1" si="22"/>
        <v>16856.460466188822</v>
      </c>
      <c r="L51" s="457">
        <f t="shared" ca="1" si="22"/>
        <v>17009.384942480039</v>
      </c>
      <c r="M51" s="457">
        <f t="shared" ca="1" si="22"/>
        <v>16934.493183661154</v>
      </c>
      <c r="O51" s="430"/>
      <c r="P51" s="416"/>
    </row>
    <row r="52" spans="1:16" ht="15" customHeight="1" outlineLevel="1">
      <c r="A52" s="385"/>
      <c r="B52" s="385" t="s">
        <v>183</v>
      </c>
      <c r="C52" s="385"/>
      <c r="F52" s="387"/>
      <c r="G52" s="387"/>
      <c r="H52" s="387"/>
      <c r="I52" s="388"/>
      <c r="J52" s="388"/>
      <c r="K52" s="388"/>
      <c r="L52" s="388"/>
      <c r="M52" s="388"/>
      <c r="P52" s="407"/>
    </row>
    <row r="53" spans="1:16" ht="15" customHeight="1" outlineLevel="1">
      <c r="A53" s="385"/>
      <c r="B53" s="385"/>
      <c r="C53" s="385"/>
      <c r="F53" s="387"/>
      <c r="G53" s="387"/>
      <c r="H53" s="387"/>
      <c r="I53" s="388"/>
      <c r="J53" s="388"/>
      <c r="K53" s="388"/>
      <c r="L53" s="388"/>
      <c r="M53" s="388"/>
      <c r="P53" s="407"/>
    </row>
    <row r="54" spans="1:16" ht="15" customHeight="1" outlineLevel="1">
      <c r="A54" s="385"/>
      <c r="B54" s="434" t="s">
        <v>186</v>
      </c>
      <c r="C54" s="434"/>
      <c r="F54" s="387"/>
      <c r="G54" s="387"/>
      <c r="H54" s="387"/>
      <c r="I54" s="388"/>
      <c r="J54" s="388"/>
      <c r="K54" s="388"/>
      <c r="L54" s="388"/>
      <c r="M54" s="388"/>
      <c r="P54" s="407"/>
    </row>
    <row r="55" spans="1:16" ht="15" customHeight="1" outlineLevel="1">
      <c r="A55" s="385"/>
      <c r="B55" s="453" t="s">
        <v>54</v>
      </c>
      <c r="C55" s="453"/>
      <c r="F55" s="387">
        <v>-9014.9999999999927</v>
      </c>
      <c r="G55" s="387">
        <v>-11733.000000000005</v>
      </c>
      <c r="H55" s="387">
        <v>-11130</v>
      </c>
      <c r="I55" s="458">
        <f>Inputs!H22*-1</f>
        <v>-25475</v>
      </c>
      <c r="J55" s="458">
        <f>Inputs!I22*-1</f>
        <v>-7050</v>
      </c>
      <c r="K55" s="458">
        <f>Inputs!J22*-1</f>
        <v>-7275</v>
      </c>
      <c r="L55" s="458">
        <f>Inputs!K22*-1</f>
        <v>-7200</v>
      </c>
      <c r="M55" s="458">
        <f>Inputs!L22*-1</f>
        <v>-7687.5</v>
      </c>
      <c r="O55" s="430"/>
      <c r="P55" s="407"/>
    </row>
    <row r="56" spans="1:16" ht="15" customHeight="1" outlineLevel="1">
      <c r="A56" s="385"/>
      <c r="B56" s="453" t="s">
        <v>144</v>
      </c>
      <c r="C56" s="453"/>
      <c r="F56" s="456">
        <v>-9014.9999999999927</v>
      </c>
      <c r="G56" s="456">
        <v>-11733.000000000005</v>
      </c>
      <c r="H56" s="456">
        <v>-11130</v>
      </c>
      <c r="I56" s="457">
        <f>SUM(I55)</f>
        <v>-25475</v>
      </c>
      <c r="J56" s="457">
        <f t="shared" ref="J56:M56" si="23">SUM(J55)</f>
        <v>-7050</v>
      </c>
      <c r="K56" s="457">
        <f t="shared" si="23"/>
        <v>-7275</v>
      </c>
      <c r="L56" s="457">
        <f t="shared" si="23"/>
        <v>-7200</v>
      </c>
      <c r="M56" s="457">
        <f t="shared" si="23"/>
        <v>-7687.5</v>
      </c>
      <c r="O56" s="430"/>
      <c r="P56" s="416"/>
    </row>
    <row r="57" spans="1:16" ht="15" customHeight="1" outlineLevel="1">
      <c r="A57" s="385"/>
      <c r="B57" s="385" t="s">
        <v>183</v>
      </c>
      <c r="C57" s="385"/>
      <c r="F57" s="387"/>
      <c r="G57" s="387"/>
      <c r="H57" s="387"/>
      <c r="I57" s="388"/>
      <c r="J57" s="388"/>
      <c r="K57" s="388"/>
      <c r="L57" s="388"/>
      <c r="M57" s="388"/>
      <c r="P57" s="407"/>
    </row>
    <row r="58" spans="1:16" ht="15" customHeight="1" outlineLevel="1">
      <c r="A58" s="385"/>
      <c r="B58" s="385"/>
      <c r="C58" s="385"/>
      <c r="F58" s="387"/>
      <c r="G58" s="387"/>
      <c r="H58" s="387"/>
      <c r="I58" s="388"/>
      <c r="J58" s="388"/>
      <c r="K58" s="388"/>
      <c r="L58" s="388"/>
      <c r="M58" s="388"/>
      <c r="P58" s="407"/>
    </row>
    <row r="59" spans="1:16" ht="15" customHeight="1" outlineLevel="1">
      <c r="A59" s="385"/>
      <c r="B59" s="434" t="s">
        <v>185</v>
      </c>
      <c r="C59" s="434"/>
      <c r="F59" s="387"/>
      <c r="G59" s="387"/>
      <c r="H59" s="387"/>
      <c r="I59" s="388"/>
      <c r="J59" s="388"/>
      <c r="K59" s="388"/>
      <c r="L59" s="388"/>
      <c r="M59" s="388"/>
      <c r="P59" s="407"/>
    </row>
    <row r="60" spans="1:16" ht="15" customHeight="1" outlineLevel="1">
      <c r="A60" s="385"/>
      <c r="B60" s="453" t="s">
        <v>76</v>
      </c>
      <c r="C60" s="453"/>
      <c r="F60" s="387">
        <v>0</v>
      </c>
      <c r="G60" s="387">
        <v>-4000</v>
      </c>
      <c r="H60" s="387">
        <v>-4000</v>
      </c>
      <c r="I60" s="454">
        <f>Inputs!H44</f>
        <v>-4000</v>
      </c>
      <c r="J60" s="454">
        <f>Inputs!I44</f>
        <v>-4000</v>
      </c>
      <c r="K60" s="454">
        <f>Inputs!J44</f>
        <v>-4000</v>
      </c>
      <c r="L60" s="454">
        <f>Inputs!K44</f>
        <v>-4000</v>
      </c>
      <c r="M60" s="454">
        <f>Inputs!L44</f>
        <v>-4000</v>
      </c>
      <c r="O60" s="430"/>
      <c r="P60" s="407"/>
    </row>
    <row r="61" spans="1:16" ht="15" customHeight="1" outlineLevel="1">
      <c r="A61" s="385"/>
      <c r="B61" s="453" t="s">
        <v>184</v>
      </c>
      <c r="C61" s="453"/>
      <c r="F61" s="387">
        <v>0</v>
      </c>
      <c r="G61" s="387">
        <v>0</v>
      </c>
      <c r="H61" s="387">
        <v>0</v>
      </c>
      <c r="I61" s="454">
        <f ca="1">I402</f>
        <v>7528.8331348805696</v>
      </c>
      <c r="J61" s="454">
        <f t="shared" ref="J61:M61" ca="1" si="24">J402</f>
        <v>-2680.01400114442</v>
      </c>
      <c r="K61" s="454">
        <f t="shared" ca="1" si="24"/>
        <v>-2628.5709132454976</v>
      </c>
      <c r="L61" s="454">
        <f t="shared" ca="1" si="24"/>
        <v>-2220.2482204906519</v>
      </c>
      <c r="M61" s="454">
        <f t="shared" ca="1" si="24"/>
        <v>0</v>
      </c>
      <c r="O61" s="430"/>
      <c r="P61" s="407"/>
    </row>
    <row r="62" spans="1:16" ht="15" customHeight="1" outlineLevel="1">
      <c r="A62" s="385"/>
      <c r="B62" s="453" t="s">
        <v>75</v>
      </c>
      <c r="C62" s="453"/>
      <c r="F62" s="387">
        <v>0</v>
      </c>
      <c r="G62" s="387">
        <v>0</v>
      </c>
      <c r="H62" s="387">
        <v>0</v>
      </c>
      <c r="I62" s="458">
        <f>Inputs!H45</f>
        <v>-1000</v>
      </c>
      <c r="J62" s="458">
        <f>Inputs!I45</f>
        <v>-1000</v>
      </c>
      <c r="K62" s="458">
        <f>Inputs!J45</f>
        <v>-1000</v>
      </c>
      <c r="L62" s="458">
        <f>Inputs!K45</f>
        <v>-1000</v>
      </c>
      <c r="M62" s="458">
        <f>Inputs!L45</f>
        <v>-1000</v>
      </c>
      <c r="O62" s="430"/>
      <c r="P62" s="407"/>
    </row>
    <row r="63" spans="1:16" ht="15" customHeight="1" outlineLevel="1">
      <c r="A63" s="385"/>
      <c r="B63" s="453" t="s">
        <v>62</v>
      </c>
      <c r="C63" s="453"/>
      <c r="F63" s="387">
        <v>-3465</v>
      </c>
      <c r="G63" s="387">
        <v>-3761</v>
      </c>
      <c r="H63" s="387">
        <v>-3216</v>
      </c>
      <c r="I63" s="458">
        <f ca="1">I441</f>
        <v>-2051.1640959009196</v>
      </c>
      <c r="J63" s="458">
        <f t="shared" ref="J63:M63" ca="1" si="25">J441</f>
        <v>-1950.3823413514328</v>
      </c>
      <c r="K63" s="458">
        <f t="shared" ca="1" si="25"/>
        <v>-1952.8895529433248</v>
      </c>
      <c r="L63" s="458">
        <f t="shared" ca="1" si="25"/>
        <v>-1941.1350046771427</v>
      </c>
      <c r="M63" s="458">
        <f t="shared" ca="1" si="25"/>
        <v>-1876.7518041748526</v>
      </c>
      <c r="O63" s="430"/>
      <c r="P63" s="407"/>
    </row>
    <row r="64" spans="1:16" ht="15" customHeight="1" outlineLevel="1">
      <c r="A64" s="385"/>
      <c r="B64" s="453" t="s">
        <v>144</v>
      </c>
      <c r="C64" s="453"/>
      <c r="F64" s="456">
        <v>-3465</v>
      </c>
      <c r="G64" s="456">
        <v>-7761</v>
      </c>
      <c r="H64" s="456">
        <v>-7216</v>
      </c>
      <c r="I64" s="457">
        <f ca="1">SUM(I60:I63)</f>
        <v>477.66903897964994</v>
      </c>
      <c r="J64" s="457">
        <f t="shared" ref="J64:M64" ca="1" si="26">SUM(J60:J63)</f>
        <v>-9630.3963424958529</v>
      </c>
      <c r="K64" s="457">
        <f t="shared" ca="1" si="26"/>
        <v>-9581.4604661888225</v>
      </c>
      <c r="L64" s="457">
        <f t="shared" ca="1" si="26"/>
        <v>-9161.3832251677941</v>
      </c>
      <c r="M64" s="457">
        <f t="shared" ca="1" si="26"/>
        <v>-6876.7518041748526</v>
      </c>
      <c r="O64" s="430"/>
      <c r="P64" s="416"/>
    </row>
    <row r="65" spans="1:16" ht="15" customHeight="1" outlineLevel="1">
      <c r="A65" s="385"/>
      <c r="B65" s="385" t="s">
        <v>183</v>
      </c>
      <c r="C65" s="385"/>
      <c r="F65" s="387"/>
      <c r="G65" s="387"/>
      <c r="H65" s="387"/>
      <c r="I65" s="389"/>
      <c r="J65" s="389"/>
      <c r="K65" s="388"/>
      <c r="L65" s="388"/>
      <c r="M65" s="388"/>
      <c r="P65" s="407"/>
    </row>
    <row r="66" spans="1:16" ht="15" customHeight="1" outlineLevel="1">
      <c r="A66" s="385"/>
      <c r="B66" s="385"/>
      <c r="C66" s="385"/>
      <c r="F66" s="387"/>
      <c r="G66" s="387"/>
      <c r="H66" s="387"/>
      <c r="I66" s="389"/>
      <c r="J66" s="389"/>
      <c r="K66" s="388"/>
      <c r="L66" s="388"/>
      <c r="M66" s="388"/>
      <c r="P66" s="407"/>
    </row>
    <row r="67" spans="1:16" ht="15" customHeight="1" outlineLevel="1">
      <c r="A67" s="385"/>
      <c r="B67" s="434" t="s">
        <v>182</v>
      </c>
      <c r="C67" s="434"/>
      <c r="F67" s="387"/>
      <c r="G67" s="387"/>
      <c r="H67" s="387"/>
      <c r="I67" s="388"/>
      <c r="J67" s="388"/>
      <c r="K67" s="388"/>
      <c r="L67" s="388"/>
      <c r="M67" s="388"/>
      <c r="P67" s="407"/>
    </row>
    <row r="68" spans="1:16" ht="15" customHeight="1" outlineLevel="1">
      <c r="A68" s="385"/>
      <c r="B68" s="453" t="s">
        <v>181</v>
      </c>
      <c r="C68" s="453"/>
      <c r="F68" s="387">
        <v>9671</v>
      </c>
      <c r="G68" s="387">
        <v>12846.700000000008</v>
      </c>
      <c r="H68" s="387">
        <v>9364.5506000000005</v>
      </c>
      <c r="I68" s="458">
        <f>H70</f>
        <v>8409.9990999999991</v>
      </c>
      <c r="J68" s="458">
        <f t="shared" ref="J68:M68" ca="1" si="27">I70</f>
        <v>0</v>
      </c>
      <c r="K68" s="458">
        <f t="shared" ca="1" si="27"/>
        <v>0</v>
      </c>
      <c r="L68" s="458">
        <f t="shared" ca="1" si="27"/>
        <v>0</v>
      </c>
      <c r="M68" s="458">
        <f t="shared" ca="1" si="27"/>
        <v>648.00171731224509</v>
      </c>
      <c r="O68" s="430"/>
      <c r="P68" s="416"/>
    </row>
    <row r="69" spans="1:16" ht="15" customHeight="1" outlineLevel="1">
      <c r="A69" s="385"/>
      <c r="B69" s="453" t="s">
        <v>43</v>
      </c>
      <c r="C69" s="453"/>
      <c r="F69" s="387">
        <v>3175.700000000008</v>
      </c>
      <c r="G69" s="387">
        <v>-3482.1494000000075</v>
      </c>
      <c r="H69" s="387">
        <v>-954.5515000000014</v>
      </c>
      <c r="I69" s="458">
        <f ca="1">I51+I56+I64</f>
        <v>-8409.9990999999973</v>
      </c>
      <c r="J69" s="458">
        <f ca="1">J51+J56+J64</f>
        <v>0</v>
      </c>
      <c r="K69" s="458">
        <f t="shared" ref="K69:M69" ca="1" si="28">K51+K56+K64</f>
        <v>0</v>
      </c>
      <c r="L69" s="458">
        <f t="shared" ca="1" si="28"/>
        <v>648.00171731224509</v>
      </c>
      <c r="M69" s="458">
        <f t="shared" ca="1" si="28"/>
        <v>2370.2413794863014</v>
      </c>
      <c r="O69" s="430"/>
      <c r="P69" s="416"/>
    </row>
    <row r="70" spans="1:16" ht="15" customHeight="1" outlineLevel="1" thickBot="1">
      <c r="A70" s="385"/>
      <c r="B70" s="453" t="s">
        <v>180</v>
      </c>
      <c r="C70" s="453"/>
      <c r="F70" s="459">
        <v>12846.700000000008</v>
      </c>
      <c r="G70" s="459">
        <v>9364.5506000000005</v>
      </c>
      <c r="H70" s="459">
        <v>8409.9990999999991</v>
      </c>
      <c r="I70" s="460">
        <f ca="1">SUM(I68:I69)</f>
        <v>0</v>
      </c>
      <c r="J70" s="460">
        <f t="shared" ref="J70:M70" ca="1" si="29">SUM(J68:J69)</f>
        <v>0</v>
      </c>
      <c r="K70" s="460">
        <f t="shared" ca="1" si="29"/>
        <v>0</v>
      </c>
      <c r="L70" s="460">
        <f t="shared" ca="1" si="29"/>
        <v>648.00171731224509</v>
      </c>
      <c r="M70" s="460">
        <f t="shared" ca="1" si="29"/>
        <v>3018.2430967985465</v>
      </c>
      <c r="O70" s="430"/>
      <c r="P70" s="416"/>
    </row>
    <row r="71" spans="1:16" ht="15" customHeight="1" outlineLevel="1">
      <c r="A71" s="385"/>
      <c r="B71" s="401"/>
      <c r="C71" s="402"/>
      <c r="D71" s="404"/>
      <c r="E71" s="404"/>
      <c r="F71" s="452"/>
      <c r="G71" s="452"/>
      <c r="H71" s="452"/>
      <c r="I71" s="452"/>
      <c r="J71" s="452"/>
      <c r="K71" s="452"/>
      <c r="L71" s="452"/>
      <c r="M71" s="452"/>
      <c r="P71" s="407"/>
    </row>
    <row r="72" spans="1:16" s="385" customFormat="1" ht="15" customHeight="1" outlineLevel="1">
      <c r="B72" s="447"/>
      <c r="C72" s="447"/>
      <c r="D72" s="396"/>
      <c r="E72" s="396"/>
      <c r="F72" s="448"/>
      <c r="G72" s="448"/>
      <c r="H72" s="448"/>
      <c r="I72" s="448"/>
      <c r="J72" s="448"/>
      <c r="K72" s="448"/>
      <c r="L72" s="448"/>
      <c r="M72" s="448"/>
    </row>
    <row r="73" spans="1:16" s="385" customFormat="1" ht="15" customHeight="1">
      <c r="B73" s="401"/>
      <c r="C73" s="398"/>
      <c r="D73" s="403"/>
      <c r="F73" s="449"/>
      <c r="G73" s="449"/>
      <c r="H73" s="449"/>
      <c r="I73" s="449"/>
      <c r="J73" s="449"/>
      <c r="K73" s="449"/>
      <c r="L73" s="449"/>
      <c r="M73" s="449"/>
      <c r="N73" s="407"/>
      <c r="O73" s="407"/>
    </row>
    <row r="74" spans="1:16" s="412" customFormat="1" ht="15" customHeight="1">
      <c r="A74" s="385" t="s">
        <v>0</v>
      </c>
      <c r="B74" s="408" t="s">
        <v>179</v>
      </c>
      <c r="C74" s="409"/>
      <c r="D74" s="410"/>
      <c r="E74" s="410"/>
      <c r="F74" s="411"/>
      <c r="G74" s="411"/>
      <c r="H74" s="411"/>
      <c r="I74" s="411"/>
      <c r="J74" s="411"/>
      <c r="K74" s="411"/>
      <c r="L74" s="411"/>
      <c r="M74" s="411"/>
      <c r="P74" s="416"/>
    </row>
    <row r="75" spans="1:16" s="412" customFormat="1" ht="15" customHeight="1" outlineLevel="1">
      <c r="B75" s="413"/>
      <c r="C75" s="402"/>
      <c r="D75" s="414"/>
      <c r="E75" s="414"/>
      <c r="F75" s="415"/>
      <c r="G75" s="415"/>
      <c r="H75" s="415"/>
      <c r="I75" s="415"/>
      <c r="J75" s="415"/>
      <c r="K75" s="415"/>
      <c r="L75" s="415"/>
      <c r="M75" s="415"/>
    </row>
    <row r="76" spans="1:16" s="412" customFormat="1" ht="15" customHeight="1" outlineLevel="1" thickBot="1">
      <c r="B76" s="417" t="s">
        <v>15</v>
      </c>
      <c r="C76" s="402"/>
      <c r="D76" s="404"/>
      <c r="E76" s="404"/>
      <c r="F76" s="418">
        <f t="shared" ref="F76:M76" si="30">F$4</f>
        <v>2020</v>
      </c>
      <c r="G76" s="418">
        <f t="shared" si="30"/>
        <v>2021</v>
      </c>
      <c r="H76" s="418">
        <f t="shared" si="30"/>
        <v>2022</v>
      </c>
      <c r="I76" s="419">
        <f t="shared" si="30"/>
        <v>2023</v>
      </c>
      <c r="J76" s="419">
        <f t="shared" si="30"/>
        <v>2024</v>
      </c>
      <c r="K76" s="419">
        <f t="shared" si="30"/>
        <v>2025</v>
      </c>
      <c r="L76" s="419">
        <f t="shared" si="30"/>
        <v>2026</v>
      </c>
      <c r="M76" s="419">
        <f t="shared" si="30"/>
        <v>2027</v>
      </c>
    </row>
    <row r="77" spans="1:16" ht="15" customHeight="1" outlineLevel="1">
      <c r="A77" s="385"/>
      <c r="B77" s="417" t="str">
        <f>B$5</f>
        <v>Model Running: Base Case Drivers</v>
      </c>
      <c r="C77" s="402"/>
      <c r="D77" s="404"/>
      <c r="E77" s="404"/>
      <c r="F77" s="404"/>
      <c r="G77" s="404"/>
      <c r="H77" s="404"/>
      <c r="I77" s="421"/>
      <c r="J77" s="421"/>
      <c r="K77" s="421"/>
      <c r="L77" s="421"/>
      <c r="M77" s="421"/>
      <c r="P77" s="407"/>
    </row>
    <row r="78" spans="1:16" ht="15" customHeight="1" outlineLevel="1">
      <c r="A78" s="385"/>
      <c r="B78" s="417"/>
      <c r="C78" s="402"/>
      <c r="D78" s="404"/>
      <c r="E78" s="404"/>
      <c r="F78" s="404"/>
      <c r="G78" s="404"/>
      <c r="H78" s="404"/>
      <c r="I78" s="421"/>
      <c r="J78" s="421"/>
      <c r="K78" s="421"/>
      <c r="L78" s="421"/>
      <c r="M78" s="421"/>
      <c r="P78" s="407"/>
    </row>
    <row r="79" spans="1:16" ht="15" customHeight="1" outlineLevel="1">
      <c r="A79" s="385"/>
      <c r="B79" s="434" t="s">
        <v>178</v>
      </c>
      <c r="C79" s="434"/>
      <c r="F79" s="461"/>
      <c r="G79" s="461"/>
      <c r="H79" s="461"/>
      <c r="I79" s="388"/>
      <c r="J79" s="388"/>
      <c r="K79" s="388"/>
      <c r="L79" s="388"/>
      <c r="M79" s="388"/>
      <c r="P79" s="407"/>
    </row>
    <row r="80" spans="1:16" ht="15" customHeight="1" outlineLevel="1">
      <c r="A80" s="385"/>
      <c r="B80" s="434"/>
      <c r="C80" s="434"/>
      <c r="F80" s="461"/>
      <c r="G80" s="461"/>
      <c r="H80" s="461"/>
      <c r="I80" s="388"/>
      <c r="J80" s="388"/>
      <c r="K80" s="388"/>
      <c r="L80" s="388"/>
      <c r="M80" s="388"/>
      <c r="P80" s="407"/>
    </row>
    <row r="81" spans="1:16" ht="15" customHeight="1" outlineLevel="1">
      <c r="A81" s="385"/>
      <c r="B81" s="453" t="s">
        <v>177</v>
      </c>
      <c r="C81" s="453"/>
      <c r="F81" s="428">
        <v>12846.700000000008</v>
      </c>
      <c r="G81" s="428">
        <v>9364.5506000000005</v>
      </c>
      <c r="H81" s="428">
        <v>8409.9990999999991</v>
      </c>
      <c r="I81" s="429">
        <f ca="1">I70</f>
        <v>0</v>
      </c>
      <c r="J81" s="429">
        <f t="shared" ref="J81:M81" ca="1" si="31">J70</f>
        <v>0</v>
      </c>
      <c r="K81" s="429">
        <f t="shared" ca="1" si="31"/>
        <v>0</v>
      </c>
      <c r="L81" s="429">
        <f t="shared" ca="1" si="31"/>
        <v>648.00171731224509</v>
      </c>
      <c r="M81" s="429">
        <f t="shared" ca="1" si="31"/>
        <v>3018.2430967985465</v>
      </c>
      <c r="O81" s="430"/>
      <c r="P81" s="416"/>
    </row>
    <row r="82" spans="1:16" ht="15" customHeight="1" outlineLevel="1">
      <c r="A82" s="385"/>
      <c r="B82" s="453" t="s">
        <v>51</v>
      </c>
      <c r="C82" s="453"/>
      <c r="F82" s="428">
        <v>5708</v>
      </c>
      <c r="G82" s="428">
        <v>6333</v>
      </c>
      <c r="H82" s="428">
        <v>6624</v>
      </c>
      <c r="I82" s="441">
        <f>I217</f>
        <v>6963.4293300000008</v>
      </c>
      <c r="J82" s="441">
        <f t="shared" ref="J82:M82" si="32">J217</f>
        <v>7103.394259533</v>
      </c>
      <c r="K82" s="441">
        <f t="shared" si="32"/>
        <v>7246.1724841496152</v>
      </c>
      <c r="L82" s="441">
        <f t="shared" si="32"/>
        <v>7355.2273800360654</v>
      </c>
      <c r="M82" s="441">
        <f t="shared" si="32"/>
        <v>7428.9635345209254</v>
      </c>
      <c r="O82" s="430"/>
      <c r="P82" s="407"/>
    </row>
    <row r="83" spans="1:16" ht="15" customHeight="1" outlineLevel="1">
      <c r="A83" s="385"/>
      <c r="B83" s="453" t="s">
        <v>176</v>
      </c>
      <c r="C83" s="453"/>
      <c r="F83" s="431">
        <v>1792</v>
      </c>
      <c r="G83" s="431">
        <v>1923</v>
      </c>
      <c r="H83" s="431">
        <v>2009</v>
      </c>
      <c r="I83" s="441">
        <f>I218</f>
        <v>1835.482435859589</v>
      </c>
      <c r="J83" s="442">
        <f t="shared" ref="J83:M83" si="33">J218</f>
        <v>1894.7335863124017</v>
      </c>
      <c r="K83" s="442">
        <f t="shared" si="33"/>
        <v>1955.9309943770929</v>
      </c>
      <c r="L83" s="442">
        <f t="shared" si="33"/>
        <v>2007.0837334075572</v>
      </c>
      <c r="M83" s="442">
        <f t="shared" si="33"/>
        <v>2059.5832066469357</v>
      </c>
      <c r="O83" s="430"/>
      <c r="P83" s="407"/>
    </row>
    <row r="84" spans="1:16" ht="15" customHeight="1" outlineLevel="1">
      <c r="A84" s="385"/>
      <c r="B84" s="453" t="s">
        <v>175</v>
      </c>
      <c r="C84" s="453"/>
      <c r="F84" s="428">
        <v>20346.700000000008</v>
      </c>
      <c r="G84" s="428">
        <v>17620.550600000002</v>
      </c>
      <c r="H84" s="428">
        <v>17042.999100000001</v>
      </c>
      <c r="I84" s="441">
        <f ca="1">SUM(I81:I83)</f>
        <v>8798.9117658595897</v>
      </c>
      <c r="J84" s="441">
        <f t="shared" ref="J84:M84" ca="1" si="34">SUM(J81:J83)</f>
        <v>8998.1278458454017</v>
      </c>
      <c r="K84" s="441">
        <f t="shared" ca="1" si="34"/>
        <v>9202.1034785267075</v>
      </c>
      <c r="L84" s="441">
        <f t="shared" ca="1" si="34"/>
        <v>10010.312830755867</v>
      </c>
      <c r="M84" s="441">
        <f t="shared" ca="1" si="34"/>
        <v>12506.789837966408</v>
      </c>
      <c r="O84" s="430"/>
      <c r="P84" s="416"/>
    </row>
    <row r="85" spans="1:16" ht="15" customHeight="1" outlineLevel="1">
      <c r="A85" s="385"/>
      <c r="B85" s="462"/>
      <c r="C85" s="462"/>
      <c r="F85" s="463"/>
      <c r="G85" s="463"/>
      <c r="H85" s="463"/>
      <c r="I85" s="464"/>
      <c r="J85" s="464"/>
      <c r="K85" s="464"/>
      <c r="L85" s="464"/>
      <c r="M85" s="464"/>
      <c r="P85" s="407"/>
    </row>
    <row r="86" spans="1:16" ht="15" customHeight="1" outlineLevel="1">
      <c r="A86" s="385"/>
      <c r="B86" s="453" t="s">
        <v>174</v>
      </c>
      <c r="C86" s="453"/>
      <c r="F86" s="463">
        <v>59192</v>
      </c>
      <c r="G86" s="463">
        <v>67729</v>
      </c>
      <c r="H86" s="463">
        <v>75407</v>
      </c>
      <c r="I86" s="465">
        <f>I293</f>
        <v>95532.1875</v>
      </c>
      <c r="J86" s="465">
        <f t="shared" ref="J86:M86" si="35">J293</f>
        <v>96419.25</v>
      </c>
      <c r="K86" s="465">
        <f t="shared" si="35"/>
        <v>97173.1875</v>
      </c>
      <c r="L86" s="465">
        <f t="shared" si="35"/>
        <v>97490.25</v>
      </c>
      <c r="M86" s="465">
        <f t="shared" si="35"/>
        <v>97922.625</v>
      </c>
      <c r="O86" s="430"/>
      <c r="P86" s="416"/>
    </row>
    <row r="87" spans="1:16" ht="15" customHeight="1" outlineLevel="1">
      <c r="A87" s="385"/>
      <c r="B87" s="453"/>
      <c r="C87" s="453"/>
      <c r="D87" s="389"/>
      <c r="F87" s="463"/>
      <c r="G87" s="463"/>
      <c r="H87" s="463"/>
      <c r="I87" s="464"/>
      <c r="J87" s="464"/>
      <c r="K87" s="464"/>
      <c r="L87" s="464"/>
      <c r="M87" s="464"/>
      <c r="P87" s="407"/>
    </row>
    <row r="88" spans="1:16" ht="15" customHeight="1" outlineLevel="1">
      <c r="A88" s="385"/>
      <c r="B88" s="453"/>
      <c r="C88" s="453"/>
      <c r="D88" s="389"/>
      <c r="F88" s="463"/>
      <c r="G88" s="463"/>
      <c r="H88" s="463"/>
      <c r="I88" s="464"/>
      <c r="J88" s="464"/>
      <c r="K88" s="464"/>
      <c r="L88" s="464"/>
      <c r="M88" s="464"/>
      <c r="P88" s="407"/>
    </row>
    <row r="89" spans="1:16" ht="15" customHeight="1" outlineLevel="1" thickBot="1">
      <c r="A89" s="385"/>
      <c r="B89" s="453" t="s">
        <v>173</v>
      </c>
      <c r="C89" s="462"/>
      <c r="F89" s="466">
        <v>79538.700000000012</v>
      </c>
      <c r="G89" s="466">
        <v>85349.550600000002</v>
      </c>
      <c r="H89" s="466">
        <v>92449.999100000001</v>
      </c>
      <c r="I89" s="467">
        <f ca="1">I84+I86</f>
        <v>104331.09926585959</v>
      </c>
      <c r="J89" s="467">
        <f t="shared" ref="J89:M89" ca="1" si="36">J84+J86</f>
        <v>105417.3778458454</v>
      </c>
      <c r="K89" s="467">
        <f t="shared" ca="1" si="36"/>
        <v>106375.29097852671</v>
      </c>
      <c r="L89" s="467">
        <f t="shared" ca="1" si="36"/>
        <v>107500.56283075587</v>
      </c>
      <c r="M89" s="467">
        <f t="shared" ca="1" si="36"/>
        <v>110429.41483796641</v>
      </c>
      <c r="O89" s="430"/>
      <c r="P89" s="416"/>
    </row>
    <row r="90" spans="1:16" ht="15" customHeight="1" outlineLevel="1">
      <c r="A90" s="385"/>
      <c r="B90" s="385"/>
      <c r="C90" s="385"/>
      <c r="F90" s="463"/>
      <c r="G90" s="463"/>
      <c r="H90" s="463"/>
      <c r="I90" s="464"/>
      <c r="J90" s="464"/>
      <c r="K90" s="464"/>
      <c r="L90" s="464"/>
      <c r="M90" s="464"/>
      <c r="P90" s="407"/>
    </row>
    <row r="91" spans="1:16" ht="15" customHeight="1" outlineLevel="1">
      <c r="A91" s="385"/>
      <c r="B91" s="434"/>
      <c r="C91" s="434"/>
      <c r="F91" s="463"/>
      <c r="G91" s="463"/>
      <c r="H91" s="463"/>
      <c r="I91" s="464"/>
      <c r="J91" s="464"/>
      <c r="K91" s="464"/>
      <c r="L91" s="464"/>
      <c r="M91" s="464"/>
      <c r="P91" s="407"/>
    </row>
    <row r="92" spans="1:16" ht="15" customHeight="1" outlineLevel="1">
      <c r="A92" s="385"/>
      <c r="B92" s="434" t="s">
        <v>172</v>
      </c>
      <c r="C92" s="434"/>
      <c r="F92" s="463"/>
      <c r="G92" s="463"/>
      <c r="H92" s="463"/>
      <c r="I92" s="464"/>
      <c r="J92" s="464"/>
      <c r="K92" s="464"/>
      <c r="L92" s="464"/>
      <c r="M92" s="464"/>
      <c r="P92" s="407"/>
    </row>
    <row r="93" spans="1:16" ht="15" customHeight="1" outlineLevel="1">
      <c r="A93" s="385"/>
      <c r="B93" s="434"/>
      <c r="C93" s="434"/>
      <c r="F93" s="463"/>
      <c r="G93" s="463"/>
      <c r="H93" s="463"/>
      <c r="I93" s="464"/>
      <c r="J93" s="464"/>
      <c r="K93" s="464"/>
      <c r="L93" s="464"/>
      <c r="M93" s="464"/>
      <c r="P93" s="407"/>
    </row>
    <row r="94" spans="1:16" ht="15" customHeight="1" outlineLevel="1">
      <c r="A94" s="385"/>
      <c r="B94" s="453" t="s">
        <v>49</v>
      </c>
      <c r="C94" s="453"/>
      <c r="F94" s="463">
        <v>3024</v>
      </c>
      <c r="G94" s="463">
        <v>3205</v>
      </c>
      <c r="H94" s="463">
        <v>3319</v>
      </c>
      <c r="I94" s="465">
        <f>I219</f>
        <v>2936.7718973753422</v>
      </c>
      <c r="J94" s="465">
        <f t="shared" ref="J94:M94" si="37">J219</f>
        <v>3031.5737380998426</v>
      </c>
      <c r="K94" s="465">
        <f t="shared" si="37"/>
        <v>3129.4895910033488</v>
      </c>
      <c r="L94" s="465">
        <f t="shared" si="37"/>
        <v>3211.3339734520914</v>
      </c>
      <c r="M94" s="465">
        <f t="shared" si="37"/>
        <v>3295.3331306350969</v>
      </c>
      <c r="O94" s="430"/>
      <c r="P94" s="407"/>
    </row>
    <row r="95" spans="1:16" ht="15" customHeight="1" outlineLevel="1">
      <c r="A95" s="385"/>
      <c r="B95" s="453" t="s">
        <v>24</v>
      </c>
      <c r="C95" s="453"/>
      <c r="D95" s="387"/>
      <c r="F95" s="428">
        <v>0</v>
      </c>
      <c r="G95" s="428">
        <v>0</v>
      </c>
      <c r="H95" s="428">
        <v>0</v>
      </c>
      <c r="I95" s="429">
        <f ca="1">I403</f>
        <v>7528.8331348805696</v>
      </c>
      <c r="J95" s="429">
        <f t="shared" ref="J95:M95" ca="1" si="38">J403</f>
        <v>4848.8191337361495</v>
      </c>
      <c r="K95" s="429">
        <f t="shared" ca="1" si="38"/>
        <v>2220.2482204906519</v>
      </c>
      <c r="L95" s="429">
        <f t="shared" ca="1" si="38"/>
        <v>0</v>
      </c>
      <c r="M95" s="429">
        <f t="shared" ca="1" si="38"/>
        <v>0</v>
      </c>
      <c r="O95" s="430"/>
      <c r="P95" s="416"/>
    </row>
    <row r="96" spans="1:16" ht="15" customHeight="1" outlineLevel="1">
      <c r="A96" s="385"/>
      <c r="B96" s="453" t="s">
        <v>171</v>
      </c>
      <c r="C96" s="453"/>
      <c r="F96" s="468">
        <v>3024</v>
      </c>
      <c r="G96" s="468">
        <v>3205</v>
      </c>
      <c r="H96" s="468">
        <v>3319</v>
      </c>
      <c r="I96" s="469">
        <f ca="1">SUM(I94:I95)</f>
        <v>10465.605032255911</v>
      </c>
      <c r="J96" s="469">
        <f t="shared" ref="J96:M96" ca="1" si="39">SUM(J94:J95)</f>
        <v>7880.3928718359921</v>
      </c>
      <c r="K96" s="469">
        <f t="shared" ca="1" si="39"/>
        <v>5349.7378114940002</v>
      </c>
      <c r="L96" s="469">
        <f t="shared" ca="1" si="39"/>
        <v>3211.3339734520914</v>
      </c>
      <c r="M96" s="469">
        <f t="shared" ca="1" si="39"/>
        <v>3295.3331306350969</v>
      </c>
      <c r="O96" s="430"/>
      <c r="P96" s="416"/>
    </row>
    <row r="97" spans="1:16" ht="15" customHeight="1" outlineLevel="1">
      <c r="A97" s="385"/>
      <c r="B97" s="462"/>
      <c r="C97" s="462"/>
      <c r="F97" s="463"/>
      <c r="G97" s="463"/>
      <c r="H97" s="463"/>
      <c r="I97" s="464"/>
      <c r="J97" s="464"/>
      <c r="K97" s="464"/>
      <c r="L97" s="464"/>
      <c r="M97" s="464"/>
      <c r="P97" s="407"/>
    </row>
    <row r="98" spans="1:16" ht="15" customHeight="1" outlineLevel="1">
      <c r="A98" s="385"/>
      <c r="B98" s="453" t="s">
        <v>89</v>
      </c>
      <c r="C98" s="453"/>
      <c r="F98" s="463">
        <v>4155</v>
      </c>
      <c r="G98" s="463">
        <v>7016</v>
      </c>
      <c r="H98" s="463">
        <v>10028</v>
      </c>
      <c r="I98" s="470">
        <f ca="1">H98+I46</f>
        <v>11557.838749999999</v>
      </c>
      <c r="J98" s="470">
        <f t="shared" ref="J98:M98" ca="1" si="40">I98+J46</f>
        <v>12427.800124999998</v>
      </c>
      <c r="K98" s="470">
        <f t="shared" ca="1" si="40"/>
        <v>13104.810106249997</v>
      </c>
      <c r="L98" s="470">
        <f t="shared" ca="1" si="40"/>
        <v>13603.945777812496</v>
      </c>
      <c r="M98" s="470">
        <f t="shared" ca="1" si="40"/>
        <v>13941.791411140621</v>
      </c>
      <c r="O98" s="430"/>
      <c r="P98" s="416"/>
    </row>
    <row r="99" spans="1:16" ht="15" customHeight="1" outlineLevel="1">
      <c r="A99" s="385"/>
      <c r="B99" s="453" t="s">
        <v>170</v>
      </c>
      <c r="C99" s="453"/>
      <c r="F99" s="463">
        <v>28000</v>
      </c>
      <c r="G99" s="463">
        <v>24000</v>
      </c>
      <c r="H99" s="463">
        <v>20000</v>
      </c>
      <c r="I99" s="465">
        <f>I371</f>
        <v>16000</v>
      </c>
      <c r="J99" s="465">
        <f t="shared" ref="J99:M99" si="41">J371</f>
        <v>12000</v>
      </c>
      <c r="K99" s="465">
        <f t="shared" si="41"/>
        <v>8000</v>
      </c>
      <c r="L99" s="465">
        <f t="shared" si="41"/>
        <v>4000</v>
      </c>
      <c r="M99" s="465">
        <f t="shared" si="41"/>
        <v>0</v>
      </c>
      <c r="O99" s="430"/>
      <c r="P99" s="416"/>
    </row>
    <row r="100" spans="1:16" ht="15" customHeight="1" outlineLevel="1">
      <c r="A100" s="385"/>
      <c r="B100" s="453" t="s">
        <v>169</v>
      </c>
      <c r="C100" s="453"/>
      <c r="F100" s="468">
        <v>35179</v>
      </c>
      <c r="G100" s="468">
        <v>34221</v>
      </c>
      <c r="H100" s="468">
        <v>33347</v>
      </c>
      <c r="I100" s="469">
        <f ca="1">SUM(I96:I99)</f>
        <v>38023.443782255912</v>
      </c>
      <c r="J100" s="469">
        <f t="shared" ref="J100:M100" ca="1" si="42">SUM(J96:J99)</f>
        <v>32308.192996835991</v>
      </c>
      <c r="K100" s="469">
        <f t="shared" ca="1" si="42"/>
        <v>26454.547917743999</v>
      </c>
      <c r="L100" s="469">
        <f t="shared" ca="1" si="42"/>
        <v>20815.279751264588</v>
      </c>
      <c r="M100" s="469">
        <f t="shared" ca="1" si="42"/>
        <v>17237.124541775716</v>
      </c>
      <c r="O100" s="430"/>
      <c r="P100" s="416"/>
    </row>
    <row r="101" spans="1:16" ht="15" customHeight="1" outlineLevel="1">
      <c r="A101" s="385"/>
      <c r="B101" s="462"/>
      <c r="C101" s="462"/>
      <c r="F101" s="463"/>
      <c r="G101" s="463"/>
      <c r="H101" s="463"/>
      <c r="I101" s="464"/>
      <c r="J101" s="464"/>
      <c r="K101" s="464"/>
      <c r="L101" s="464"/>
      <c r="M101" s="464"/>
      <c r="P101" s="407"/>
    </row>
    <row r="102" spans="1:16" ht="15" customHeight="1" outlineLevel="1">
      <c r="A102" s="385"/>
      <c r="B102" s="462"/>
      <c r="C102" s="462"/>
      <c r="F102" s="463"/>
      <c r="G102" s="463"/>
      <c r="H102" s="463"/>
      <c r="I102" s="464"/>
      <c r="J102" s="464"/>
      <c r="K102" s="464"/>
      <c r="L102" s="464"/>
      <c r="M102" s="464"/>
      <c r="P102" s="407"/>
    </row>
    <row r="103" spans="1:16" ht="15" customHeight="1" outlineLevel="1">
      <c r="A103" s="385"/>
      <c r="B103" s="434" t="s">
        <v>168</v>
      </c>
      <c r="C103" s="434"/>
      <c r="F103" s="463"/>
      <c r="G103" s="463"/>
      <c r="H103" s="463"/>
      <c r="I103" s="464"/>
      <c r="J103" s="464"/>
      <c r="K103" s="464"/>
      <c r="L103" s="464"/>
      <c r="M103" s="464"/>
      <c r="P103" s="407"/>
    </row>
    <row r="104" spans="1:16" ht="15" customHeight="1" outlineLevel="1">
      <c r="A104" s="385"/>
      <c r="B104" s="434"/>
      <c r="C104" s="434"/>
      <c r="F104" s="463"/>
      <c r="G104" s="463"/>
      <c r="H104" s="463"/>
      <c r="I104" s="464"/>
      <c r="J104" s="464"/>
      <c r="K104" s="464"/>
      <c r="L104" s="464"/>
      <c r="M104" s="464"/>
      <c r="P104" s="407"/>
    </row>
    <row r="105" spans="1:16" ht="15" customHeight="1" outlineLevel="1">
      <c r="A105" s="385"/>
      <c r="B105" s="453" t="s">
        <v>44</v>
      </c>
      <c r="C105" s="453"/>
      <c r="F105" s="463">
        <v>38669.700000000084</v>
      </c>
      <c r="G105" s="463">
        <v>38669.700000000084</v>
      </c>
      <c r="H105" s="463">
        <v>38669.700000000084</v>
      </c>
      <c r="I105" s="470">
        <f>I428</f>
        <v>37669.700000000084</v>
      </c>
      <c r="J105" s="470">
        <f t="shared" ref="J105:M105" si="43">J428</f>
        <v>36669.700000000084</v>
      </c>
      <c r="K105" s="470">
        <f t="shared" si="43"/>
        <v>35669.700000000084</v>
      </c>
      <c r="L105" s="470">
        <f t="shared" si="43"/>
        <v>34669.700000000084</v>
      </c>
      <c r="M105" s="470">
        <f t="shared" si="43"/>
        <v>33669.700000000084</v>
      </c>
      <c r="O105" s="430"/>
      <c r="P105" s="416"/>
    </row>
    <row r="106" spans="1:16" ht="15" customHeight="1" outlineLevel="1">
      <c r="A106" s="385"/>
      <c r="B106" s="453" t="s">
        <v>167</v>
      </c>
      <c r="C106" s="453"/>
      <c r="F106" s="463">
        <v>5690</v>
      </c>
      <c r="G106" s="463">
        <v>12458.850599999998</v>
      </c>
      <c r="H106" s="463">
        <v>20433.299099999997</v>
      </c>
      <c r="I106" s="470">
        <f ca="1">I442</f>
        <v>28637.955483603673</v>
      </c>
      <c r="J106" s="470">
        <f t="shared" ref="J106:M106" ca="1" si="44">J442</f>
        <v>36439.484849009401</v>
      </c>
      <c r="K106" s="470">
        <f t="shared" ca="1" si="44"/>
        <v>44251.0430607827</v>
      </c>
      <c r="L106" s="470">
        <f t="shared" ca="1" si="44"/>
        <v>52015.583079491276</v>
      </c>
      <c r="M106" s="470">
        <f t="shared" ca="1" si="44"/>
        <v>59522.590296190683</v>
      </c>
      <c r="O106" s="430"/>
      <c r="P106" s="416"/>
    </row>
    <row r="107" spans="1:16" ht="15" customHeight="1" outlineLevel="1">
      <c r="A107" s="385"/>
      <c r="B107" s="453" t="s">
        <v>166</v>
      </c>
      <c r="C107" s="453"/>
      <c r="F107" s="468">
        <v>44359.700000000084</v>
      </c>
      <c r="G107" s="468">
        <v>51128.550600000082</v>
      </c>
      <c r="H107" s="468">
        <v>59102.999100000081</v>
      </c>
      <c r="I107" s="469">
        <f ca="1">SUM(I105:I106)</f>
        <v>66307.655483603754</v>
      </c>
      <c r="J107" s="469">
        <f t="shared" ref="J107:M107" ca="1" si="45">SUM(J105:J106)</f>
        <v>73109.184849009485</v>
      </c>
      <c r="K107" s="469">
        <f t="shared" ca="1" si="45"/>
        <v>79920.743060782785</v>
      </c>
      <c r="L107" s="469">
        <f t="shared" ca="1" si="45"/>
        <v>86685.283079491361</v>
      </c>
      <c r="M107" s="469">
        <f t="shared" ca="1" si="45"/>
        <v>93192.290296190768</v>
      </c>
      <c r="O107" s="430"/>
      <c r="P107" s="416"/>
    </row>
    <row r="108" spans="1:16" ht="15" customHeight="1" outlineLevel="1">
      <c r="A108" s="385"/>
      <c r="B108" s="462"/>
      <c r="C108" s="462"/>
      <c r="F108" s="471"/>
      <c r="G108" s="471"/>
      <c r="H108" s="471"/>
      <c r="I108" s="446"/>
      <c r="J108" s="446"/>
      <c r="K108" s="446"/>
      <c r="L108" s="446"/>
      <c r="M108" s="446"/>
      <c r="P108" s="407"/>
    </row>
    <row r="109" spans="1:16" ht="15" customHeight="1" outlineLevel="1">
      <c r="A109" s="385"/>
      <c r="B109" s="462"/>
      <c r="C109" s="462"/>
      <c r="F109" s="471"/>
      <c r="G109" s="471"/>
      <c r="H109" s="471"/>
      <c r="I109" s="446"/>
      <c r="J109" s="446"/>
      <c r="K109" s="446"/>
      <c r="L109" s="446"/>
      <c r="M109" s="446"/>
      <c r="P109" s="407"/>
    </row>
    <row r="110" spans="1:16" ht="15" customHeight="1" outlineLevel="1" thickBot="1">
      <c r="A110" s="385"/>
      <c r="B110" s="453" t="s">
        <v>165</v>
      </c>
      <c r="C110" s="462"/>
      <c r="F110" s="466">
        <v>79538.700000000084</v>
      </c>
      <c r="G110" s="466">
        <v>85349.550600000075</v>
      </c>
      <c r="H110" s="466">
        <v>92449.999100000074</v>
      </c>
      <c r="I110" s="467">
        <f ca="1">I107+I100</f>
        <v>104331.09926585967</v>
      </c>
      <c r="J110" s="467">
        <f t="shared" ref="J110:M110" ca="1" si="46">J107+J100</f>
        <v>105417.37784584548</v>
      </c>
      <c r="K110" s="467">
        <f t="shared" ca="1" si="46"/>
        <v>106375.29097852678</v>
      </c>
      <c r="L110" s="467">
        <f t="shared" ca="1" si="46"/>
        <v>107500.56283075595</v>
      </c>
      <c r="M110" s="467">
        <f t="shared" ca="1" si="46"/>
        <v>110429.41483796648</v>
      </c>
      <c r="O110" s="430"/>
      <c r="P110" s="416"/>
    </row>
    <row r="111" spans="1:16" ht="15" customHeight="1" outlineLevel="1">
      <c r="A111" s="385"/>
      <c r="B111" s="385"/>
      <c r="C111" s="385"/>
      <c r="F111" s="464"/>
      <c r="G111" s="464"/>
      <c r="H111" s="464"/>
      <c r="I111" s="388"/>
      <c r="J111" s="388"/>
      <c r="K111" s="388"/>
      <c r="L111" s="388"/>
      <c r="M111" s="388"/>
      <c r="P111" s="407"/>
    </row>
    <row r="112" spans="1:16" ht="15" customHeight="1" outlineLevel="1">
      <c r="A112" s="385"/>
      <c r="B112" s="385"/>
      <c r="C112" s="385"/>
      <c r="F112" s="464"/>
      <c r="G112" s="464"/>
      <c r="H112" s="464"/>
      <c r="I112" s="388"/>
      <c r="J112" s="388"/>
      <c r="K112" s="388"/>
      <c r="L112" s="388"/>
      <c r="M112" s="388"/>
    </row>
    <row r="113" spans="1:16" ht="15" customHeight="1" outlineLevel="1">
      <c r="A113" s="385"/>
      <c r="B113" s="472" t="s">
        <v>164</v>
      </c>
      <c r="C113" s="472"/>
      <c r="F113" s="473">
        <f t="shared" ref="F113:M113" si="47">ROUND(F110-F89,0)</f>
        <v>0</v>
      </c>
      <c r="G113" s="473">
        <f t="shared" si="47"/>
        <v>0</v>
      </c>
      <c r="H113" s="473">
        <f t="shared" si="47"/>
        <v>0</v>
      </c>
      <c r="I113" s="473">
        <f t="shared" ca="1" si="47"/>
        <v>0</v>
      </c>
      <c r="J113" s="473">
        <f t="shared" ca="1" si="47"/>
        <v>0</v>
      </c>
      <c r="K113" s="473">
        <f t="shared" ca="1" si="47"/>
        <v>0</v>
      </c>
      <c r="L113" s="473">
        <f t="shared" ca="1" si="47"/>
        <v>0</v>
      </c>
      <c r="M113" s="473">
        <f t="shared" ca="1" si="47"/>
        <v>0</v>
      </c>
      <c r="O113" s="420"/>
    </row>
    <row r="114" spans="1:16" ht="15" customHeight="1" outlineLevel="1">
      <c r="A114" s="385"/>
      <c r="B114" s="417"/>
      <c r="C114" s="402"/>
      <c r="D114" s="404"/>
      <c r="E114" s="404"/>
      <c r="F114" s="404"/>
      <c r="G114" s="404"/>
      <c r="H114" s="404"/>
      <c r="I114" s="421"/>
      <c r="J114" s="421"/>
      <c r="K114" s="421"/>
      <c r="L114" s="421"/>
      <c r="M114" s="421"/>
      <c r="P114" s="407"/>
    </row>
    <row r="115" spans="1:16" s="385" customFormat="1" ht="15" customHeight="1" outlineLevel="1">
      <c r="B115" s="447"/>
      <c r="C115" s="447"/>
      <c r="D115" s="396"/>
      <c r="E115" s="396"/>
      <c r="F115" s="448"/>
      <c r="G115" s="448"/>
      <c r="H115" s="448"/>
      <c r="I115" s="448"/>
      <c r="J115" s="448"/>
      <c r="K115" s="448"/>
      <c r="L115" s="448"/>
      <c r="M115" s="448"/>
    </row>
    <row r="116" spans="1:16" s="385" customFormat="1" ht="15" customHeight="1">
      <c r="B116" s="401"/>
      <c r="C116" s="398"/>
      <c r="D116" s="403"/>
      <c r="F116" s="449"/>
      <c r="G116" s="449"/>
      <c r="H116" s="449"/>
      <c r="I116" s="449"/>
      <c r="J116" s="449"/>
      <c r="K116" s="449"/>
      <c r="L116" s="449"/>
      <c r="M116" s="449"/>
      <c r="N116" s="407"/>
      <c r="O116" s="407"/>
    </row>
    <row r="117" spans="1:16" ht="15" customHeight="1">
      <c r="A117" s="390" t="s">
        <v>0</v>
      </c>
      <c r="B117" s="408" t="s">
        <v>163</v>
      </c>
      <c r="C117" s="409"/>
      <c r="D117" s="410"/>
      <c r="E117" s="410"/>
      <c r="F117" s="411"/>
      <c r="G117" s="411"/>
      <c r="H117" s="411"/>
      <c r="I117" s="411"/>
      <c r="J117" s="411"/>
      <c r="K117" s="411"/>
      <c r="L117" s="411"/>
      <c r="M117" s="411"/>
      <c r="P117" s="474"/>
    </row>
    <row r="118" spans="1:16" ht="15" customHeight="1" outlineLevel="1">
      <c r="A118" s="391"/>
      <c r="B118" s="475"/>
      <c r="C118" s="402"/>
      <c r="D118" s="414"/>
      <c r="E118" s="414"/>
      <c r="F118" s="415"/>
      <c r="G118" s="415"/>
      <c r="H118" s="415"/>
      <c r="I118" s="415"/>
      <c r="J118" s="415"/>
      <c r="K118" s="415"/>
      <c r="L118" s="415"/>
      <c r="M118" s="415"/>
      <c r="P118" s="474"/>
    </row>
    <row r="119" spans="1:16" ht="15" customHeight="1" outlineLevel="1" thickBot="1">
      <c r="A119" s="390"/>
      <c r="B119" s="417" t="s">
        <v>15</v>
      </c>
      <c r="C119" s="402"/>
      <c r="D119" s="404"/>
      <c r="E119" s="404"/>
      <c r="F119" s="418">
        <f t="shared" ref="F119:M119" si="48">F$4</f>
        <v>2020</v>
      </c>
      <c r="G119" s="418">
        <f t="shared" si="48"/>
        <v>2021</v>
      </c>
      <c r="H119" s="418">
        <f t="shared" si="48"/>
        <v>2022</v>
      </c>
      <c r="I119" s="419">
        <f t="shared" si="48"/>
        <v>2023</v>
      </c>
      <c r="J119" s="419">
        <f t="shared" si="48"/>
        <v>2024</v>
      </c>
      <c r="K119" s="419">
        <f t="shared" si="48"/>
        <v>2025</v>
      </c>
      <c r="L119" s="419">
        <f t="shared" si="48"/>
        <v>2026</v>
      </c>
      <c r="M119" s="419">
        <f t="shared" si="48"/>
        <v>2027</v>
      </c>
    </row>
    <row r="120" spans="1:16" ht="15" customHeight="1" outlineLevel="1">
      <c r="A120" s="390"/>
      <c r="B120" s="417" t="str">
        <f>B$5</f>
        <v>Model Running: Base Case Drivers</v>
      </c>
      <c r="C120" s="402"/>
      <c r="D120" s="404"/>
      <c r="E120" s="404"/>
      <c r="F120" s="404"/>
      <c r="G120" s="404"/>
      <c r="H120" s="404"/>
      <c r="I120" s="421"/>
      <c r="J120" s="421"/>
      <c r="K120" s="421"/>
      <c r="L120" s="421"/>
      <c r="M120" s="421"/>
      <c r="P120" s="474"/>
    </row>
    <row r="121" spans="1:16" ht="15" customHeight="1" outlineLevel="1">
      <c r="A121" s="390"/>
      <c r="C121" s="402"/>
      <c r="D121" s="404"/>
      <c r="E121" s="404"/>
      <c r="F121" s="404"/>
      <c r="G121" s="404"/>
      <c r="H121" s="404"/>
      <c r="I121" s="421"/>
      <c r="J121" s="421"/>
      <c r="K121" s="421"/>
      <c r="L121" s="421"/>
      <c r="M121" s="421"/>
      <c r="P121" s="474"/>
    </row>
    <row r="122" spans="1:16" ht="15" customHeight="1" outlineLevel="1">
      <c r="A122" s="390"/>
      <c r="C122" s="402"/>
      <c r="D122" s="404"/>
      <c r="E122" s="404"/>
      <c r="F122" s="404"/>
      <c r="G122" s="404"/>
      <c r="H122" s="404"/>
      <c r="I122" s="421"/>
      <c r="J122" s="421"/>
      <c r="K122" s="421"/>
      <c r="L122" s="421"/>
      <c r="M122" s="421"/>
      <c r="P122" s="474"/>
    </row>
    <row r="123" spans="1:16" s="385" customFormat="1" ht="15" customHeight="1" outlineLevel="1">
      <c r="B123" s="476" t="s">
        <v>162</v>
      </c>
      <c r="C123" s="398"/>
      <c r="D123" s="403"/>
      <c r="F123" s="477"/>
      <c r="G123" s="449"/>
      <c r="H123" s="449"/>
      <c r="I123" s="412"/>
      <c r="J123" s="412"/>
      <c r="K123" s="412"/>
      <c r="L123" s="412"/>
      <c r="M123" s="412"/>
      <c r="P123" s="407"/>
    </row>
    <row r="124" spans="1:16" s="385" customFormat="1" ht="15" customHeight="1" outlineLevel="1">
      <c r="B124" s="401"/>
      <c r="C124" s="398"/>
      <c r="D124" s="403"/>
      <c r="F124" s="449"/>
      <c r="G124" s="449"/>
      <c r="H124" s="449"/>
      <c r="I124" s="449"/>
      <c r="J124" s="449"/>
      <c r="K124" s="449"/>
      <c r="L124" s="449"/>
      <c r="M124" s="449"/>
      <c r="P124" s="407"/>
    </row>
    <row r="125" spans="1:16" ht="15" customHeight="1" outlineLevel="1">
      <c r="A125" s="412"/>
      <c r="B125" s="427" t="s">
        <v>59</v>
      </c>
      <c r="C125" s="402"/>
      <c r="D125" s="404"/>
      <c r="E125" s="404"/>
      <c r="F125" s="404"/>
      <c r="G125" s="452">
        <f>G127/F127-1</f>
        <v>7.1428571428566734E-4</v>
      </c>
      <c r="H125" s="452">
        <f>H127/G127-1</f>
        <v>2.0699500356887945E-2</v>
      </c>
      <c r="I125" s="478">
        <f>Inputs!H8</f>
        <v>0.02</v>
      </c>
      <c r="J125" s="478">
        <f>Inputs!I8</f>
        <v>0.01</v>
      </c>
      <c r="K125" s="478">
        <f>Inputs!J8</f>
        <v>0.01</v>
      </c>
      <c r="L125" s="478">
        <f>Inputs!K8</f>
        <v>5.0000000000000001E-3</v>
      </c>
      <c r="M125" s="478">
        <f>Inputs!L8</f>
        <v>5.0000000000000001E-3</v>
      </c>
      <c r="O125" s="430"/>
    </row>
    <row r="126" spans="1:16" ht="15" customHeight="1" outlineLevel="1">
      <c r="A126" s="412"/>
      <c r="B126" s="427"/>
      <c r="C126" s="402"/>
      <c r="D126" s="404"/>
      <c r="E126" s="404"/>
      <c r="F126" s="404"/>
      <c r="G126" s="452"/>
      <c r="H126" s="452"/>
      <c r="I126" s="479"/>
      <c r="J126" s="479"/>
      <c r="K126" s="479"/>
      <c r="L126" s="479"/>
      <c r="M126" s="479"/>
    </row>
    <row r="127" spans="1:16" ht="15" customHeight="1" outlineLevel="1">
      <c r="A127" s="412"/>
      <c r="B127" s="427" t="s">
        <v>152</v>
      </c>
      <c r="C127" s="402"/>
      <c r="D127" s="403" t="s">
        <v>30</v>
      </c>
      <c r="E127" s="404"/>
      <c r="F127" s="405">
        <v>1400</v>
      </c>
      <c r="G127" s="405">
        <v>1401</v>
      </c>
      <c r="H127" s="405">
        <v>1430</v>
      </c>
      <c r="I127" s="480">
        <f>H127*(1+I125)</f>
        <v>1458.6000000000001</v>
      </c>
      <c r="J127" s="480">
        <f>I127*(1+J125)</f>
        <v>1473.1860000000001</v>
      </c>
      <c r="K127" s="480">
        <f>J127*(1+K125)</f>
        <v>1487.9178600000002</v>
      </c>
      <c r="L127" s="480">
        <f>K127*(1+L125)</f>
        <v>1495.3574493000001</v>
      </c>
      <c r="M127" s="480">
        <f>L127*(1+M125)</f>
        <v>1502.8342365465001</v>
      </c>
      <c r="P127" s="407"/>
    </row>
    <row r="128" spans="1:16" s="385" customFormat="1" ht="15" customHeight="1" outlineLevel="1">
      <c r="B128" s="427" t="s">
        <v>31</v>
      </c>
      <c r="C128" s="398"/>
      <c r="D128" s="403" t="s">
        <v>30</v>
      </c>
      <c r="F128" s="405">
        <v>1500</v>
      </c>
      <c r="G128" s="405">
        <v>1500</v>
      </c>
      <c r="H128" s="405">
        <v>1500</v>
      </c>
      <c r="I128" s="480">
        <f>Inputs!$F$55</f>
        <v>1600</v>
      </c>
      <c r="J128" s="480">
        <f>I128</f>
        <v>1600</v>
      </c>
      <c r="K128" s="480">
        <f>J128</f>
        <v>1600</v>
      </c>
      <c r="L128" s="480">
        <f>K128</f>
        <v>1600</v>
      </c>
      <c r="M128" s="480">
        <f>L128</f>
        <v>1600</v>
      </c>
      <c r="P128" s="474"/>
    </row>
    <row r="129" spans="1:16" s="385" customFormat="1" ht="15" customHeight="1" outlineLevel="1">
      <c r="B129" s="427" t="s">
        <v>161</v>
      </c>
      <c r="C129" s="402"/>
      <c r="D129" s="404"/>
      <c r="E129" s="404"/>
      <c r="F129" s="481">
        <f t="shared" ref="F129:M129" si="49">F127/F128</f>
        <v>0.93333333333333335</v>
      </c>
      <c r="G129" s="481">
        <f t="shared" si="49"/>
        <v>0.93400000000000005</v>
      </c>
      <c r="H129" s="481">
        <f t="shared" si="49"/>
        <v>0.95333333333333337</v>
      </c>
      <c r="I129" s="481">
        <f t="shared" si="49"/>
        <v>0.91162500000000013</v>
      </c>
      <c r="J129" s="481">
        <f t="shared" si="49"/>
        <v>0.92074125000000007</v>
      </c>
      <c r="K129" s="481">
        <f t="shared" si="49"/>
        <v>0.92994866250000019</v>
      </c>
      <c r="L129" s="481">
        <f t="shared" si="49"/>
        <v>0.93459840581250009</v>
      </c>
      <c r="M129" s="481">
        <f t="shared" si="49"/>
        <v>0.93927139784156255</v>
      </c>
      <c r="P129" s="407"/>
    </row>
    <row r="130" spans="1:16" ht="15" customHeight="1" outlineLevel="1">
      <c r="A130" s="412"/>
      <c r="C130" s="402"/>
      <c r="D130" s="403"/>
      <c r="E130" s="404"/>
      <c r="F130" s="480"/>
      <c r="G130" s="480"/>
      <c r="H130" s="480"/>
      <c r="I130" s="480"/>
      <c r="J130" s="480"/>
      <c r="K130" s="480"/>
      <c r="L130" s="480"/>
      <c r="M130" s="480"/>
    </row>
    <row r="131" spans="1:16" ht="15" customHeight="1" outlineLevel="1">
      <c r="A131" s="412"/>
      <c r="B131" s="392"/>
      <c r="C131" s="482"/>
      <c r="D131" s="483"/>
      <c r="E131" s="484"/>
      <c r="F131" s="485"/>
      <c r="G131" s="485"/>
      <c r="H131" s="485"/>
      <c r="I131" s="485"/>
      <c r="J131" s="485"/>
      <c r="K131" s="485"/>
      <c r="L131" s="485"/>
      <c r="M131" s="485"/>
    </row>
    <row r="132" spans="1:16" ht="15" customHeight="1" outlineLevel="1">
      <c r="A132" s="412"/>
      <c r="B132" s="417"/>
      <c r="C132" s="402"/>
      <c r="D132" s="404"/>
      <c r="E132" s="404"/>
      <c r="F132" s="404"/>
      <c r="G132" s="404"/>
      <c r="H132" s="404"/>
      <c r="I132" s="412"/>
      <c r="J132" s="412"/>
      <c r="K132" s="412"/>
      <c r="L132" s="412"/>
      <c r="M132" s="412"/>
      <c r="P132" s="407"/>
    </row>
    <row r="133" spans="1:16" s="385" customFormat="1" ht="15" customHeight="1" outlineLevel="1">
      <c r="B133" s="476" t="s">
        <v>160</v>
      </c>
      <c r="C133" s="398"/>
      <c r="D133" s="403"/>
      <c r="F133" s="449"/>
      <c r="G133" s="449"/>
      <c r="H133" s="449"/>
      <c r="I133" s="449"/>
      <c r="J133" s="449"/>
      <c r="K133" s="449"/>
      <c r="L133" s="449"/>
      <c r="M133" s="449"/>
      <c r="P133" s="407"/>
    </row>
    <row r="134" spans="1:16" s="385" customFormat="1" ht="15" customHeight="1" outlineLevel="1">
      <c r="B134" s="401"/>
      <c r="C134" s="398"/>
      <c r="D134" s="403"/>
      <c r="F134" s="449"/>
      <c r="G134" s="449"/>
      <c r="H134" s="449"/>
      <c r="I134" s="449"/>
      <c r="J134" s="449"/>
      <c r="K134" s="449"/>
      <c r="L134" s="449"/>
      <c r="M134" s="449"/>
      <c r="P134" s="407"/>
    </row>
    <row r="135" spans="1:16" ht="15" customHeight="1" outlineLevel="1">
      <c r="A135" s="412"/>
      <c r="B135" s="427" t="s">
        <v>37</v>
      </c>
      <c r="C135" s="402"/>
      <c r="D135" s="404"/>
      <c r="E135" s="404"/>
      <c r="F135" s="405">
        <v>365</v>
      </c>
      <c r="G135" s="405">
        <v>365</v>
      </c>
      <c r="H135" s="405">
        <v>365</v>
      </c>
      <c r="I135" s="480">
        <f>Inputs!$F$51</f>
        <v>365</v>
      </c>
      <c r="J135" s="480">
        <f>I135</f>
        <v>365</v>
      </c>
      <c r="K135" s="480">
        <f>J135</f>
        <v>365</v>
      </c>
      <c r="L135" s="480">
        <f>K135</f>
        <v>365</v>
      </c>
      <c r="M135" s="480">
        <f>L135</f>
        <v>365</v>
      </c>
      <c r="P135" s="407"/>
    </row>
    <row r="136" spans="1:16" ht="15" customHeight="1" outlineLevel="1">
      <c r="A136" s="412"/>
      <c r="B136" s="427" t="s">
        <v>152</v>
      </c>
      <c r="C136" s="402"/>
      <c r="D136" s="403" t="s">
        <v>30</v>
      </c>
      <c r="E136" s="404"/>
      <c r="F136" s="485">
        <f t="shared" ref="F136:M136" si="50">F127</f>
        <v>1400</v>
      </c>
      <c r="G136" s="485">
        <f t="shared" si="50"/>
        <v>1401</v>
      </c>
      <c r="H136" s="485">
        <f t="shared" si="50"/>
        <v>1430</v>
      </c>
      <c r="I136" s="480">
        <f t="shared" si="50"/>
        <v>1458.6000000000001</v>
      </c>
      <c r="J136" s="485">
        <f t="shared" si="50"/>
        <v>1473.1860000000001</v>
      </c>
      <c r="K136" s="485">
        <f t="shared" si="50"/>
        <v>1487.9178600000002</v>
      </c>
      <c r="L136" s="485">
        <f t="shared" si="50"/>
        <v>1495.3574493000001</v>
      </c>
      <c r="M136" s="485">
        <f t="shared" si="50"/>
        <v>1502.8342365465001</v>
      </c>
      <c r="P136" s="407"/>
    </row>
    <row r="137" spans="1:16" ht="15" customHeight="1" outlineLevel="1">
      <c r="A137" s="412"/>
      <c r="B137" s="427" t="s">
        <v>152</v>
      </c>
      <c r="C137" s="402"/>
      <c r="D137" s="403" t="s">
        <v>156</v>
      </c>
      <c r="E137" s="404"/>
      <c r="F137" s="480">
        <f t="shared" ref="F137:M137" si="51">F136*F135</f>
        <v>511000</v>
      </c>
      <c r="G137" s="480">
        <f t="shared" si="51"/>
        <v>511365</v>
      </c>
      <c r="H137" s="480">
        <f t="shared" si="51"/>
        <v>521950</v>
      </c>
      <c r="I137" s="486">
        <f t="shared" si="51"/>
        <v>532389</v>
      </c>
      <c r="J137" s="480">
        <f t="shared" si="51"/>
        <v>537712.89</v>
      </c>
      <c r="K137" s="480">
        <f t="shared" si="51"/>
        <v>543090.01890000014</v>
      </c>
      <c r="L137" s="480">
        <f t="shared" si="51"/>
        <v>545805.4689945</v>
      </c>
      <c r="M137" s="480">
        <f t="shared" si="51"/>
        <v>548534.49633947248</v>
      </c>
    </row>
    <row r="138" spans="1:16" ht="15" customHeight="1" outlineLevel="1">
      <c r="A138" s="412"/>
      <c r="B138" s="401"/>
      <c r="C138" s="402"/>
      <c r="D138" s="403"/>
      <c r="E138" s="404"/>
      <c r="F138" s="480"/>
      <c r="G138" s="480"/>
      <c r="H138" s="480"/>
      <c r="I138" s="487"/>
      <c r="J138" s="487"/>
      <c r="K138" s="487"/>
      <c r="L138" s="487"/>
      <c r="M138" s="487"/>
    </row>
    <row r="139" spans="1:16" ht="15" customHeight="1" outlineLevel="1">
      <c r="A139" s="412"/>
      <c r="B139" s="401"/>
      <c r="C139" s="402"/>
      <c r="D139" s="403"/>
      <c r="E139" s="404"/>
      <c r="F139" s="480"/>
      <c r="G139" s="480"/>
      <c r="H139" s="480"/>
      <c r="I139" s="487"/>
      <c r="J139" s="487"/>
      <c r="K139" s="487"/>
      <c r="L139" s="487"/>
      <c r="M139" s="487"/>
    </row>
    <row r="140" spans="1:16" s="385" customFormat="1" ht="15" customHeight="1" outlineLevel="1">
      <c r="B140" s="476" t="s">
        <v>159</v>
      </c>
      <c r="C140" s="398"/>
      <c r="D140" s="403"/>
      <c r="E140" s="403"/>
      <c r="F140" s="403"/>
      <c r="G140" s="403"/>
      <c r="H140" s="403"/>
      <c r="I140" s="403"/>
      <c r="J140" s="403"/>
      <c r="K140" s="403"/>
      <c r="L140" s="403"/>
      <c r="M140" s="480"/>
      <c r="P140" s="407"/>
    </row>
    <row r="141" spans="1:16" s="385" customFormat="1" ht="15" customHeight="1" outlineLevel="1">
      <c r="B141" s="401"/>
      <c r="C141" s="398"/>
      <c r="D141" s="403"/>
      <c r="F141" s="449"/>
      <c r="G141" s="449"/>
      <c r="H141" s="449"/>
      <c r="I141" s="449"/>
      <c r="J141" s="449"/>
      <c r="K141" s="449"/>
      <c r="L141" s="449"/>
      <c r="M141" s="449"/>
      <c r="P141" s="407"/>
    </row>
    <row r="142" spans="1:16" ht="15" customHeight="1" outlineLevel="1">
      <c r="A142" s="412"/>
      <c r="B142" s="427" t="s">
        <v>55</v>
      </c>
      <c r="C142" s="402"/>
      <c r="D142" s="404"/>
      <c r="E142" s="404"/>
      <c r="F142" s="484"/>
      <c r="G142" s="488">
        <f>G143/F143-1</f>
        <v>2.020202020202011E-2</v>
      </c>
      <c r="H142" s="488">
        <f>H143/G143-1</f>
        <v>1.980198019801982E-2</v>
      </c>
      <c r="I142" s="489">
        <f>Inputs!H15</f>
        <v>0.03</v>
      </c>
      <c r="J142" s="489">
        <f>Inputs!I15</f>
        <v>0.01</v>
      </c>
      <c r="K142" s="489">
        <f>Inputs!J15</f>
        <v>0.01</v>
      </c>
      <c r="L142" s="489">
        <f>Inputs!K15</f>
        <v>0.01</v>
      </c>
      <c r="M142" s="489">
        <f>Inputs!L15</f>
        <v>5.0000000000000001E-3</v>
      </c>
      <c r="O142" s="430"/>
      <c r="P142" s="407"/>
    </row>
    <row r="143" spans="1:16" ht="15" customHeight="1" outlineLevel="1">
      <c r="A143" s="412"/>
      <c r="B143" s="427" t="s">
        <v>158</v>
      </c>
      <c r="C143" s="402"/>
      <c r="D143" s="403" t="s">
        <v>142</v>
      </c>
      <c r="E143" s="404"/>
      <c r="F143" s="490">
        <v>99</v>
      </c>
      <c r="G143" s="490">
        <v>101</v>
      </c>
      <c r="H143" s="490">
        <v>103</v>
      </c>
      <c r="I143" s="491">
        <f>H143*(1+I142)</f>
        <v>106.09</v>
      </c>
      <c r="J143" s="491">
        <f>I143*(1+J142)</f>
        <v>107.15090000000001</v>
      </c>
      <c r="K143" s="491">
        <f>J143*(1+K142)</f>
        <v>108.22240900000001</v>
      </c>
      <c r="L143" s="491">
        <f>K143*(1+L142)</f>
        <v>109.30463309000001</v>
      </c>
      <c r="M143" s="491">
        <f>L143*(1+M142)</f>
        <v>109.85115625544999</v>
      </c>
    </row>
    <row r="144" spans="1:16" ht="15" customHeight="1" outlineLevel="1">
      <c r="A144" s="412"/>
      <c r="C144" s="402"/>
      <c r="D144" s="403"/>
      <c r="E144" s="404"/>
      <c r="F144" s="490"/>
      <c r="G144" s="490"/>
      <c r="H144" s="490"/>
      <c r="I144" s="491"/>
      <c r="J144" s="491"/>
      <c r="K144" s="491"/>
      <c r="L144" s="491"/>
      <c r="M144" s="491"/>
    </row>
    <row r="145" spans="1:16" ht="15" customHeight="1" outlineLevel="1">
      <c r="A145" s="412"/>
      <c r="C145" s="402"/>
      <c r="D145" s="403"/>
      <c r="E145" s="404"/>
      <c r="F145" s="490"/>
      <c r="G145" s="490"/>
      <c r="H145" s="490"/>
      <c r="I145" s="491"/>
      <c r="J145" s="491"/>
      <c r="K145" s="491"/>
      <c r="L145" s="491"/>
      <c r="M145" s="491"/>
    </row>
    <row r="146" spans="1:16" s="385" customFormat="1" ht="15" customHeight="1" outlineLevel="1">
      <c r="B146" s="476" t="s">
        <v>157</v>
      </c>
      <c r="C146" s="398"/>
      <c r="D146" s="403"/>
      <c r="F146" s="449"/>
      <c r="G146" s="449"/>
      <c r="H146" s="449"/>
      <c r="I146" s="449"/>
      <c r="J146" s="449"/>
      <c r="K146" s="449"/>
      <c r="L146" s="449"/>
      <c r="M146" s="449"/>
      <c r="P146" s="407"/>
    </row>
    <row r="147" spans="1:16" s="385" customFormat="1" ht="15" customHeight="1" outlineLevel="1">
      <c r="B147" s="401"/>
      <c r="C147" s="398"/>
      <c r="D147" s="403"/>
      <c r="F147" s="449"/>
      <c r="G147" s="449"/>
      <c r="H147" s="449"/>
      <c r="I147" s="449"/>
      <c r="J147" s="449"/>
      <c r="K147" s="449"/>
      <c r="L147" s="449"/>
      <c r="M147" s="449"/>
      <c r="P147" s="407"/>
    </row>
    <row r="148" spans="1:16" ht="15" customHeight="1" outlineLevel="1">
      <c r="A148" s="412"/>
      <c r="B148" s="427" t="s">
        <v>152</v>
      </c>
      <c r="C148" s="402"/>
      <c r="D148" s="403" t="s">
        <v>156</v>
      </c>
      <c r="E148" s="404"/>
      <c r="F148" s="480">
        <f t="shared" ref="F148:M148" si="52">F137</f>
        <v>511000</v>
      </c>
      <c r="G148" s="480">
        <f t="shared" si="52"/>
        <v>511365</v>
      </c>
      <c r="H148" s="480">
        <f t="shared" si="52"/>
        <v>521950</v>
      </c>
      <c r="I148" s="480">
        <f t="shared" si="52"/>
        <v>532389</v>
      </c>
      <c r="J148" s="480">
        <f t="shared" si="52"/>
        <v>537712.89</v>
      </c>
      <c r="K148" s="480">
        <f t="shared" si="52"/>
        <v>543090.01890000014</v>
      </c>
      <c r="L148" s="480">
        <f t="shared" si="52"/>
        <v>545805.4689945</v>
      </c>
      <c r="M148" s="480">
        <f t="shared" si="52"/>
        <v>548534.49633947248</v>
      </c>
      <c r="P148" s="407"/>
    </row>
    <row r="149" spans="1:16" ht="15" customHeight="1" outlineLevel="1">
      <c r="A149" s="412"/>
      <c r="B149" s="427" t="s">
        <v>155</v>
      </c>
      <c r="C149" s="402"/>
      <c r="D149" s="403" t="s">
        <v>142</v>
      </c>
      <c r="E149" s="404"/>
      <c r="F149" s="492">
        <f t="shared" ref="F149:M149" si="53">F143</f>
        <v>99</v>
      </c>
      <c r="G149" s="492">
        <f t="shared" si="53"/>
        <v>101</v>
      </c>
      <c r="H149" s="492">
        <f t="shared" si="53"/>
        <v>103</v>
      </c>
      <c r="I149" s="492">
        <f t="shared" si="53"/>
        <v>106.09</v>
      </c>
      <c r="J149" s="492">
        <f t="shared" si="53"/>
        <v>107.15090000000001</v>
      </c>
      <c r="K149" s="492">
        <f t="shared" si="53"/>
        <v>108.22240900000001</v>
      </c>
      <c r="L149" s="492">
        <f t="shared" si="53"/>
        <v>109.30463309000001</v>
      </c>
      <c r="M149" s="492">
        <f t="shared" si="53"/>
        <v>109.85115625544999</v>
      </c>
    </row>
    <row r="150" spans="1:16" ht="15" customHeight="1" outlineLevel="1" thickBot="1">
      <c r="A150" s="412"/>
      <c r="B150" s="427" t="s">
        <v>13</v>
      </c>
      <c r="C150" s="402"/>
      <c r="D150" s="403"/>
      <c r="E150" s="404"/>
      <c r="F150" s="493">
        <f t="shared" ref="F150:M150" si="54">F148*F149/1000</f>
        <v>50589</v>
      </c>
      <c r="G150" s="493">
        <f t="shared" si="54"/>
        <v>51647.864999999998</v>
      </c>
      <c r="H150" s="493">
        <f t="shared" si="54"/>
        <v>53760.85</v>
      </c>
      <c r="I150" s="493">
        <f t="shared" si="54"/>
        <v>56481.149010000008</v>
      </c>
      <c r="J150" s="493">
        <f t="shared" si="54"/>
        <v>57616.420105101002</v>
      </c>
      <c r="K150" s="493">
        <f t="shared" si="54"/>
        <v>58774.510149213551</v>
      </c>
      <c r="L150" s="493">
        <f t="shared" si="54"/>
        <v>59659.066526959199</v>
      </c>
      <c r="M150" s="493">
        <f t="shared" si="54"/>
        <v>60257.148668891954</v>
      </c>
      <c r="P150" s="393"/>
    </row>
    <row r="151" spans="1:16" ht="15" customHeight="1" outlineLevel="1">
      <c r="A151" s="412"/>
      <c r="C151" s="402"/>
      <c r="D151" s="403"/>
      <c r="E151" s="404"/>
      <c r="F151" s="480"/>
      <c r="G151" s="480"/>
      <c r="H151" s="480"/>
      <c r="I151" s="480"/>
      <c r="J151" s="480"/>
      <c r="K151" s="480"/>
      <c r="L151" s="480"/>
      <c r="M151" s="480"/>
      <c r="P151" s="394"/>
    </row>
    <row r="152" spans="1:16" ht="15" customHeight="1" outlineLevel="1">
      <c r="A152" s="412"/>
      <c r="C152" s="402"/>
      <c r="D152" s="403"/>
      <c r="E152" s="404"/>
      <c r="F152" s="480"/>
      <c r="G152" s="480"/>
      <c r="H152" s="480"/>
      <c r="I152" s="480"/>
      <c r="J152" s="480"/>
      <c r="K152" s="480"/>
      <c r="L152" s="480"/>
      <c r="M152" s="480"/>
      <c r="P152" s="394"/>
    </row>
    <row r="153" spans="1:16" ht="15" customHeight="1" outlineLevel="1">
      <c r="A153" s="412"/>
      <c r="C153" s="402"/>
      <c r="D153" s="403"/>
      <c r="E153" s="404"/>
      <c r="F153" s="480"/>
      <c r="G153" s="480"/>
      <c r="H153" s="480"/>
      <c r="I153" s="480"/>
      <c r="J153" s="480"/>
      <c r="K153" s="480"/>
      <c r="L153" s="480"/>
      <c r="M153" s="480"/>
      <c r="P153" s="394"/>
    </row>
    <row r="154" spans="1:16" ht="15" customHeight="1" outlineLevel="1">
      <c r="A154" s="412"/>
      <c r="B154" s="401" t="s">
        <v>154</v>
      </c>
      <c r="C154" s="402"/>
      <c r="D154" s="494"/>
      <c r="E154" s="404"/>
      <c r="F154" s="495">
        <f t="shared" ref="F154:M154" si="55">IF(F129&gt;=1,1,0)</f>
        <v>0</v>
      </c>
      <c r="G154" s="496">
        <f t="shared" si="55"/>
        <v>0</v>
      </c>
      <c r="H154" s="496">
        <f t="shared" si="55"/>
        <v>0</v>
      </c>
      <c r="I154" s="496">
        <f t="shared" si="55"/>
        <v>0</v>
      </c>
      <c r="J154" s="496">
        <f t="shared" si="55"/>
        <v>0</v>
      </c>
      <c r="K154" s="496">
        <f t="shared" si="55"/>
        <v>0</v>
      </c>
      <c r="L154" s="496">
        <f t="shared" si="55"/>
        <v>0</v>
      </c>
      <c r="M154" s="497">
        <f t="shared" si="55"/>
        <v>0</v>
      </c>
      <c r="P154" s="416"/>
    </row>
    <row r="155" spans="1:16" ht="15" customHeight="1" outlineLevel="1">
      <c r="A155" s="412"/>
      <c r="B155" s="417"/>
      <c r="C155" s="402"/>
      <c r="D155" s="404"/>
      <c r="E155" s="404"/>
      <c r="F155" s="404"/>
      <c r="G155" s="404"/>
      <c r="H155" s="404"/>
      <c r="I155" s="412"/>
      <c r="J155" s="412"/>
      <c r="K155" s="412"/>
      <c r="L155" s="412"/>
      <c r="M155" s="412"/>
      <c r="P155" s="393"/>
    </row>
    <row r="156" spans="1:16" ht="15" customHeight="1" outlineLevel="1"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</row>
    <row r="157" spans="1:16" s="385" customFormat="1" ht="15" customHeight="1">
      <c r="N157" s="464"/>
      <c r="O157" s="464"/>
      <c r="P157" s="395"/>
    </row>
    <row r="158" spans="1:16" ht="15" customHeight="1">
      <c r="A158" s="385" t="s">
        <v>0</v>
      </c>
      <c r="B158" s="408" t="s">
        <v>153</v>
      </c>
      <c r="C158" s="409"/>
      <c r="D158" s="410"/>
      <c r="E158" s="410"/>
      <c r="F158" s="411"/>
      <c r="G158" s="411"/>
      <c r="H158" s="411"/>
      <c r="I158" s="411"/>
      <c r="J158" s="411"/>
      <c r="K158" s="411"/>
      <c r="L158" s="411"/>
      <c r="M158" s="411"/>
      <c r="N158" s="407"/>
      <c r="O158" s="407"/>
      <c r="P158" s="474"/>
    </row>
    <row r="159" spans="1:16" ht="15" customHeight="1" outlineLevel="1">
      <c r="A159" s="385"/>
      <c r="B159" s="413"/>
      <c r="C159" s="402"/>
      <c r="D159" s="414"/>
      <c r="E159" s="414"/>
      <c r="F159" s="415"/>
      <c r="G159" s="415"/>
      <c r="H159" s="415"/>
      <c r="I159" s="415"/>
      <c r="J159" s="415"/>
      <c r="K159" s="415"/>
      <c r="L159" s="415"/>
      <c r="M159" s="415"/>
    </row>
    <row r="160" spans="1:16" ht="15" customHeight="1" outlineLevel="1" thickBot="1">
      <c r="A160" s="385"/>
      <c r="B160" s="417" t="s">
        <v>15</v>
      </c>
      <c r="C160" s="402"/>
      <c r="D160" s="404"/>
      <c r="E160" s="404"/>
      <c r="F160" s="418">
        <f t="shared" ref="F160:M160" si="56">F$4</f>
        <v>2020</v>
      </c>
      <c r="G160" s="418">
        <f t="shared" si="56"/>
        <v>2021</v>
      </c>
      <c r="H160" s="418">
        <f t="shared" si="56"/>
        <v>2022</v>
      </c>
      <c r="I160" s="419">
        <f t="shared" si="56"/>
        <v>2023</v>
      </c>
      <c r="J160" s="419">
        <f t="shared" si="56"/>
        <v>2024</v>
      </c>
      <c r="K160" s="419">
        <f t="shared" si="56"/>
        <v>2025</v>
      </c>
      <c r="L160" s="419">
        <f t="shared" si="56"/>
        <v>2026</v>
      </c>
      <c r="M160" s="419">
        <f t="shared" si="56"/>
        <v>2027</v>
      </c>
      <c r="P160" s="474"/>
    </row>
    <row r="161" spans="1:16" ht="15" customHeight="1" outlineLevel="1">
      <c r="A161" s="385"/>
      <c r="B161" s="417" t="str">
        <f>B$5</f>
        <v>Model Running: Base Case Drivers</v>
      </c>
      <c r="C161" s="402"/>
      <c r="D161" s="404"/>
      <c r="E161" s="404"/>
      <c r="F161" s="404"/>
      <c r="G161" s="404"/>
      <c r="H161" s="404"/>
      <c r="I161" s="421"/>
      <c r="J161" s="421"/>
      <c r="K161" s="421"/>
      <c r="L161" s="421"/>
      <c r="M161" s="421"/>
      <c r="P161" s="474"/>
    </row>
    <row r="162" spans="1:16" ht="15" customHeight="1" outlineLevel="1">
      <c r="A162" s="385"/>
      <c r="B162" s="417"/>
      <c r="C162" s="402"/>
      <c r="D162" s="404"/>
      <c r="E162" s="404"/>
      <c r="F162" s="404"/>
      <c r="G162" s="404"/>
      <c r="H162" s="404"/>
      <c r="I162" s="412"/>
      <c r="J162" s="412"/>
      <c r="K162" s="412"/>
      <c r="L162" s="412"/>
      <c r="M162" s="412"/>
    </row>
    <row r="163" spans="1:16" ht="15" customHeight="1" outlineLevel="1">
      <c r="A163" s="385"/>
      <c r="B163" s="401" t="s">
        <v>152</v>
      </c>
      <c r="C163" s="402"/>
      <c r="D163" s="403"/>
      <c r="E163" s="404"/>
      <c r="F163" s="498">
        <f t="shared" ref="F163:M163" si="57">F148</f>
        <v>511000</v>
      </c>
      <c r="G163" s="486">
        <f t="shared" si="57"/>
        <v>511365</v>
      </c>
      <c r="H163" s="486">
        <f t="shared" si="57"/>
        <v>521950</v>
      </c>
      <c r="I163" s="486">
        <f t="shared" si="57"/>
        <v>532389</v>
      </c>
      <c r="J163" s="486">
        <f t="shared" si="57"/>
        <v>537712.89</v>
      </c>
      <c r="K163" s="486">
        <f t="shared" si="57"/>
        <v>543090.01890000014</v>
      </c>
      <c r="L163" s="486">
        <f t="shared" si="57"/>
        <v>545805.4689945</v>
      </c>
      <c r="M163" s="499">
        <f t="shared" si="57"/>
        <v>548534.49633947248</v>
      </c>
    </row>
    <row r="164" spans="1:16" ht="15" customHeight="1" outlineLevel="1">
      <c r="A164" s="385"/>
      <c r="B164" s="401" t="s">
        <v>151</v>
      </c>
      <c r="C164" s="402"/>
      <c r="D164" s="404"/>
      <c r="E164" s="404"/>
      <c r="F164" s="500">
        <f t="shared" ref="F164:M164" si="58">F$7</f>
        <v>2.4E-2</v>
      </c>
      <c r="G164" s="488">
        <f t="shared" si="58"/>
        <v>2.1999999999999999E-2</v>
      </c>
      <c r="H164" s="488">
        <f t="shared" si="58"/>
        <v>2.3E-2</v>
      </c>
      <c r="I164" s="488">
        <f t="shared" si="58"/>
        <v>3.5000000000000003E-2</v>
      </c>
      <c r="J164" s="488">
        <f t="shared" si="58"/>
        <v>0.03</v>
      </c>
      <c r="K164" s="488">
        <f t="shared" si="58"/>
        <v>0.03</v>
      </c>
      <c r="L164" s="488">
        <f t="shared" si="58"/>
        <v>2.5000000000000001E-2</v>
      </c>
      <c r="M164" s="501">
        <f t="shared" si="58"/>
        <v>2.5000000000000001E-2</v>
      </c>
      <c r="P164" s="407"/>
    </row>
    <row r="165" spans="1:16" ht="15" customHeight="1" outlineLevel="1">
      <c r="A165" s="385"/>
      <c r="B165" s="401"/>
      <c r="C165" s="402"/>
      <c r="D165" s="404"/>
      <c r="E165" s="404"/>
      <c r="F165" s="426"/>
      <c r="G165" s="426"/>
      <c r="H165" s="426"/>
      <c r="I165" s="452"/>
      <c r="J165" s="452"/>
      <c r="K165" s="452"/>
      <c r="L165" s="452"/>
      <c r="M165" s="452"/>
      <c r="P165" s="407"/>
    </row>
    <row r="166" spans="1:16" s="385" customFormat="1" ht="15" customHeight="1" outlineLevel="1">
      <c r="B166" s="476" t="s">
        <v>150</v>
      </c>
      <c r="C166" s="398"/>
      <c r="D166" s="403"/>
      <c r="F166" s="502"/>
      <c r="G166" s="502"/>
      <c r="H166" s="502"/>
      <c r="I166" s="449"/>
      <c r="J166" s="449"/>
      <c r="K166" s="449"/>
      <c r="L166" s="449"/>
      <c r="M166" s="449"/>
      <c r="N166" s="407"/>
      <c r="O166" s="407"/>
      <c r="P166" s="407"/>
    </row>
    <row r="167" spans="1:16" s="385" customFormat="1" ht="15" customHeight="1" outlineLevel="1">
      <c r="B167" s="401"/>
      <c r="C167" s="398"/>
      <c r="D167" s="403"/>
      <c r="F167" s="449"/>
      <c r="G167" s="449"/>
      <c r="H167" s="449"/>
      <c r="I167" s="449"/>
      <c r="J167" s="449"/>
      <c r="K167" s="449"/>
      <c r="L167" s="449"/>
      <c r="M167" s="449"/>
      <c r="N167" s="407"/>
      <c r="O167" s="407"/>
      <c r="P167" s="386"/>
    </row>
    <row r="168" spans="1:16" s="385" customFormat="1" ht="15" customHeight="1" outlineLevel="1">
      <c r="B168" s="427" t="s">
        <v>149</v>
      </c>
      <c r="C168" s="402"/>
      <c r="D168" s="403" t="s">
        <v>142</v>
      </c>
      <c r="E168" s="404"/>
      <c r="F168" s="490">
        <v>9.5</v>
      </c>
      <c r="G168" s="490">
        <v>9.7200000000000006</v>
      </c>
      <c r="H168" s="490">
        <v>9.91</v>
      </c>
      <c r="I168" s="491">
        <f t="shared" ref="I168:M169" si="59">H168*(1+I$164)</f>
        <v>10.25685</v>
      </c>
      <c r="J168" s="491">
        <f t="shared" si="59"/>
        <v>10.564555500000001</v>
      </c>
      <c r="K168" s="491">
        <f t="shared" si="59"/>
        <v>10.881492165000001</v>
      </c>
      <c r="L168" s="491">
        <f t="shared" si="59"/>
        <v>11.153529469125001</v>
      </c>
      <c r="M168" s="491">
        <f t="shared" si="59"/>
        <v>11.432367705853125</v>
      </c>
      <c r="P168" s="386"/>
    </row>
    <row r="169" spans="1:16" s="385" customFormat="1" ht="15" customHeight="1" outlineLevel="1">
      <c r="B169" s="427" t="s">
        <v>148</v>
      </c>
      <c r="C169" s="402"/>
      <c r="D169" s="403" t="s">
        <v>142</v>
      </c>
      <c r="E169" s="404"/>
      <c r="F169" s="503">
        <v>0.8</v>
      </c>
      <c r="G169" s="503">
        <v>0.84</v>
      </c>
      <c r="H169" s="503">
        <v>0.86</v>
      </c>
      <c r="I169" s="504">
        <f t="shared" si="59"/>
        <v>0.89009999999999989</v>
      </c>
      <c r="J169" s="504">
        <f t="shared" si="59"/>
        <v>0.91680299999999992</v>
      </c>
      <c r="K169" s="504">
        <f t="shared" si="59"/>
        <v>0.9443070899999999</v>
      </c>
      <c r="L169" s="504">
        <f t="shared" si="59"/>
        <v>0.96791476724999981</v>
      </c>
      <c r="M169" s="504">
        <f t="shared" si="59"/>
        <v>0.99211263643124969</v>
      </c>
      <c r="P169" s="386"/>
    </row>
    <row r="170" spans="1:16" s="385" customFormat="1" ht="15" customHeight="1" outlineLevel="1">
      <c r="B170" s="427" t="s">
        <v>144</v>
      </c>
      <c r="C170" s="398"/>
      <c r="D170" s="403"/>
      <c r="F170" s="492">
        <f t="shared" ref="F170:M170" si="60">SUM(F168:F169)</f>
        <v>10.3</v>
      </c>
      <c r="G170" s="492">
        <f t="shared" si="60"/>
        <v>10.56</v>
      </c>
      <c r="H170" s="492">
        <f t="shared" si="60"/>
        <v>10.77</v>
      </c>
      <c r="I170" s="492">
        <f t="shared" si="60"/>
        <v>11.14695</v>
      </c>
      <c r="J170" s="492">
        <f t="shared" si="60"/>
        <v>11.481358500000001</v>
      </c>
      <c r="K170" s="492">
        <f t="shared" si="60"/>
        <v>11.825799255000002</v>
      </c>
      <c r="L170" s="492">
        <f t="shared" si="60"/>
        <v>12.121444236375</v>
      </c>
      <c r="M170" s="492">
        <f t="shared" si="60"/>
        <v>12.424480342284374</v>
      </c>
      <c r="P170" s="386"/>
    </row>
    <row r="171" spans="1:16" s="385" customFormat="1" ht="15" customHeight="1" outlineLevel="1">
      <c r="B171" s="398"/>
      <c r="C171" s="398"/>
      <c r="D171" s="403"/>
      <c r="F171" s="492"/>
      <c r="G171" s="492"/>
      <c r="H171" s="492"/>
      <c r="I171" s="492"/>
      <c r="J171" s="492"/>
      <c r="K171" s="492"/>
      <c r="L171" s="492"/>
      <c r="M171" s="492"/>
      <c r="P171" s="386"/>
    </row>
    <row r="172" spans="1:16" s="385" customFormat="1" ht="15" customHeight="1" outlineLevel="1">
      <c r="B172" s="427" t="s">
        <v>149</v>
      </c>
      <c r="C172" s="402"/>
      <c r="D172" s="403"/>
      <c r="E172" s="404"/>
      <c r="F172" s="480">
        <f t="shared" ref="F172:M173" si="61">F168*F$163/1000</f>
        <v>4854.5</v>
      </c>
      <c r="G172" s="480">
        <f t="shared" si="61"/>
        <v>4970.4678000000004</v>
      </c>
      <c r="H172" s="480">
        <f t="shared" si="61"/>
        <v>5172.5245000000004</v>
      </c>
      <c r="I172" s="480">
        <f t="shared" si="61"/>
        <v>5460.6341146499999</v>
      </c>
      <c r="J172" s="480">
        <f t="shared" si="61"/>
        <v>5680.6976694703962</v>
      </c>
      <c r="K172" s="480">
        <f t="shared" si="61"/>
        <v>5909.6297855500543</v>
      </c>
      <c r="L172" s="480">
        <f t="shared" si="61"/>
        <v>6087.6573828397477</v>
      </c>
      <c r="M172" s="480">
        <f t="shared" si="61"/>
        <v>6271.0480614977942</v>
      </c>
      <c r="P172" s="393"/>
    </row>
    <row r="173" spans="1:16" s="385" customFormat="1" ht="15" customHeight="1" outlineLevel="1">
      <c r="B173" s="427" t="s">
        <v>148</v>
      </c>
      <c r="C173" s="402"/>
      <c r="D173" s="403"/>
      <c r="E173" s="404"/>
      <c r="F173" s="485">
        <f t="shared" si="61"/>
        <v>408.8</v>
      </c>
      <c r="G173" s="485">
        <f t="shared" si="61"/>
        <v>429.54659999999996</v>
      </c>
      <c r="H173" s="485">
        <f t="shared" si="61"/>
        <v>448.87700000000001</v>
      </c>
      <c r="I173" s="485">
        <f t="shared" si="61"/>
        <v>473.87944889999994</v>
      </c>
      <c r="J173" s="485">
        <f t="shared" si="61"/>
        <v>492.97679069066999</v>
      </c>
      <c r="K173" s="485">
        <f t="shared" si="61"/>
        <v>512.84375535550407</v>
      </c>
      <c r="L173" s="485">
        <f t="shared" si="61"/>
        <v>528.29317348558845</v>
      </c>
      <c r="M173" s="485">
        <f t="shared" si="61"/>
        <v>544.20800533684167</v>
      </c>
      <c r="P173" s="393"/>
    </row>
    <row r="174" spans="1:16" s="385" customFormat="1" ht="15" customHeight="1" outlineLevel="1">
      <c r="B174" s="427" t="s">
        <v>144</v>
      </c>
      <c r="C174" s="398"/>
      <c r="D174" s="403"/>
      <c r="F174" s="480">
        <f t="shared" ref="F174:M174" si="62">SUM(F172:F173)</f>
        <v>5263.3</v>
      </c>
      <c r="G174" s="480">
        <f t="shared" si="62"/>
        <v>5400.0144</v>
      </c>
      <c r="H174" s="480">
        <f t="shared" si="62"/>
        <v>5621.4015000000009</v>
      </c>
      <c r="I174" s="480">
        <f t="shared" si="62"/>
        <v>5934.5135635500001</v>
      </c>
      <c r="J174" s="480">
        <f t="shared" si="62"/>
        <v>6173.6744601610662</v>
      </c>
      <c r="K174" s="480">
        <f t="shared" si="62"/>
        <v>6422.4735409055584</v>
      </c>
      <c r="L174" s="480">
        <f t="shared" si="62"/>
        <v>6615.950556325336</v>
      </c>
      <c r="M174" s="480">
        <f t="shared" si="62"/>
        <v>6815.2560668346359</v>
      </c>
      <c r="N174" s="393"/>
      <c r="O174" s="393"/>
      <c r="P174" s="386"/>
    </row>
    <row r="175" spans="1:16" s="385" customFormat="1" ht="15" customHeight="1" outlineLevel="1">
      <c r="B175" s="505"/>
      <c r="C175" s="506"/>
      <c r="D175" s="483"/>
      <c r="E175" s="396"/>
      <c r="F175" s="507"/>
      <c r="G175" s="507"/>
      <c r="H175" s="507"/>
      <c r="I175" s="507"/>
      <c r="J175" s="507"/>
      <c r="K175" s="507"/>
      <c r="L175" s="507"/>
      <c r="M175" s="507"/>
      <c r="P175" s="386"/>
    </row>
    <row r="176" spans="1:16" s="385" customFormat="1" ht="15" customHeight="1" outlineLevel="1">
      <c r="B176" s="401"/>
      <c r="C176" s="398"/>
      <c r="D176" s="403"/>
      <c r="F176" s="449"/>
      <c r="G176" s="449"/>
      <c r="H176" s="449"/>
      <c r="I176" s="449"/>
      <c r="J176" s="449"/>
      <c r="K176" s="449"/>
      <c r="L176" s="449"/>
      <c r="M176" s="449"/>
      <c r="P176" s="386"/>
    </row>
    <row r="177" spans="2:16" s="385" customFormat="1" ht="15" customHeight="1" outlineLevel="1">
      <c r="B177" s="476" t="s">
        <v>147</v>
      </c>
      <c r="C177" s="398"/>
      <c r="D177" s="403"/>
      <c r="F177" s="449"/>
      <c r="G177" s="449"/>
      <c r="H177" s="449"/>
      <c r="I177" s="449"/>
      <c r="J177" s="449"/>
      <c r="K177" s="449"/>
      <c r="L177" s="449"/>
      <c r="M177" s="449"/>
      <c r="N177" s="407"/>
      <c r="O177" s="407"/>
      <c r="P177" s="386"/>
    </row>
    <row r="178" spans="2:16" s="385" customFormat="1" ht="15" customHeight="1" outlineLevel="1">
      <c r="B178" s="508"/>
      <c r="C178" s="398"/>
      <c r="D178" s="403"/>
      <c r="F178" s="449"/>
      <c r="G178" s="449"/>
      <c r="H178" s="449"/>
      <c r="I178" s="449"/>
      <c r="J178" s="449"/>
      <c r="K178" s="449"/>
      <c r="L178" s="449"/>
      <c r="M178" s="449"/>
      <c r="N178" s="407"/>
      <c r="O178" s="407"/>
      <c r="P178" s="386"/>
    </row>
    <row r="179" spans="2:16" s="385" customFormat="1" ht="15" customHeight="1" outlineLevel="1">
      <c r="B179" s="427" t="s">
        <v>146</v>
      </c>
      <c r="C179" s="402"/>
      <c r="D179" s="403" t="s">
        <v>142</v>
      </c>
      <c r="E179" s="404"/>
      <c r="F179" s="492">
        <f t="shared" ref="F179:M180" si="63">(F183*1000)/F$163</f>
        <v>30.587084148727985</v>
      </c>
      <c r="G179" s="492">
        <f t="shared" si="63"/>
        <v>31.236005592873976</v>
      </c>
      <c r="H179" s="492">
        <f t="shared" si="63"/>
        <v>31.307596513075964</v>
      </c>
      <c r="I179" s="492">
        <f t="shared" si="63"/>
        <v>31.768002344150606</v>
      </c>
      <c r="J179" s="492">
        <f t="shared" si="63"/>
        <v>32.397071697500131</v>
      </c>
      <c r="K179" s="492">
        <f t="shared" si="63"/>
        <v>33.038597869727845</v>
      </c>
      <c r="L179" s="492">
        <f t="shared" si="63"/>
        <v>33.696082404448809</v>
      </c>
      <c r="M179" s="492">
        <f t="shared" si="63"/>
        <v>34.366651208517439</v>
      </c>
      <c r="P179" s="393"/>
    </row>
    <row r="180" spans="2:16" s="385" customFormat="1" ht="15" customHeight="1" outlineLevel="1">
      <c r="B180" s="427" t="s">
        <v>145</v>
      </c>
      <c r="C180" s="402"/>
      <c r="D180" s="403" t="s">
        <v>142</v>
      </c>
      <c r="E180" s="404"/>
      <c r="F180" s="509">
        <f t="shared" si="63"/>
        <v>7.1448140900195698</v>
      </c>
      <c r="G180" s="509">
        <f t="shared" si="63"/>
        <v>7.2961583213555876</v>
      </c>
      <c r="H180" s="509">
        <f t="shared" si="63"/>
        <v>7.312961011591149</v>
      </c>
      <c r="I180" s="509">
        <f t="shared" si="63"/>
        <v>7.4205045558792539</v>
      </c>
      <c r="J180" s="509">
        <f t="shared" si="63"/>
        <v>7.5674452401540906</v>
      </c>
      <c r="K180" s="509">
        <f t="shared" si="63"/>
        <v>7.7172956409492199</v>
      </c>
      <c r="L180" s="509">
        <f t="shared" si="63"/>
        <v>7.8708736636546774</v>
      </c>
      <c r="M180" s="509">
        <f t="shared" si="63"/>
        <v>8.0275079654189501</v>
      </c>
      <c r="P180" s="393"/>
    </row>
    <row r="181" spans="2:16" s="385" customFormat="1" ht="15" customHeight="1" outlineLevel="1">
      <c r="B181" s="427" t="s">
        <v>144</v>
      </c>
      <c r="C181" s="398"/>
      <c r="D181" s="403"/>
      <c r="F181" s="492">
        <f t="shared" ref="F181:M181" si="64">SUM(F179:F180)</f>
        <v>37.731898238747554</v>
      </c>
      <c r="G181" s="492">
        <f t="shared" si="64"/>
        <v>38.532163914229564</v>
      </c>
      <c r="H181" s="492">
        <f t="shared" si="64"/>
        <v>38.620557524667113</v>
      </c>
      <c r="I181" s="492">
        <f t="shared" si="64"/>
        <v>39.188506900029857</v>
      </c>
      <c r="J181" s="492">
        <f t="shared" si="64"/>
        <v>39.964516937654224</v>
      </c>
      <c r="K181" s="492">
        <f t="shared" si="64"/>
        <v>40.755893510677062</v>
      </c>
      <c r="L181" s="492">
        <f t="shared" si="64"/>
        <v>41.566956068103487</v>
      </c>
      <c r="M181" s="492">
        <f t="shared" si="64"/>
        <v>42.394159173936387</v>
      </c>
      <c r="P181" s="386"/>
    </row>
    <row r="182" spans="2:16" s="385" customFormat="1" ht="15" customHeight="1" outlineLevel="1">
      <c r="B182" s="398"/>
      <c r="C182" s="398"/>
      <c r="D182" s="403"/>
      <c r="F182" s="449"/>
      <c r="G182" s="449"/>
      <c r="H182" s="449"/>
      <c r="I182" s="449"/>
      <c r="J182" s="449"/>
      <c r="K182" s="449"/>
      <c r="L182" s="449"/>
      <c r="M182" s="449"/>
      <c r="P182" s="386"/>
    </row>
    <row r="183" spans="2:16" s="385" customFormat="1" ht="15" customHeight="1" outlineLevel="1">
      <c r="B183" s="427" t="s">
        <v>146</v>
      </c>
      <c r="C183" s="402"/>
      <c r="D183" s="405"/>
      <c r="E183" s="404"/>
      <c r="F183" s="405">
        <v>15630</v>
      </c>
      <c r="G183" s="405">
        <v>15973</v>
      </c>
      <c r="H183" s="405">
        <v>16341</v>
      </c>
      <c r="I183" s="406">
        <f t="shared" ref="I183:M184" si="65">H183*(1+I$164)</f>
        <v>16912.934999999998</v>
      </c>
      <c r="J183" s="406">
        <f t="shared" si="65"/>
        <v>17420.323049999999</v>
      </c>
      <c r="K183" s="406">
        <f t="shared" si="65"/>
        <v>17942.932741500001</v>
      </c>
      <c r="L183" s="406">
        <f t="shared" si="65"/>
        <v>18391.5060600375</v>
      </c>
      <c r="M183" s="406">
        <f t="shared" si="65"/>
        <v>18851.293711538437</v>
      </c>
      <c r="P183" s="386"/>
    </row>
    <row r="184" spans="2:16" s="385" customFormat="1" ht="15" customHeight="1" outlineLevel="1">
      <c r="B184" s="427" t="s">
        <v>145</v>
      </c>
      <c r="C184" s="402"/>
      <c r="D184" s="403"/>
      <c r="E184" s="404"/>
      <c r="F184" s="510">
        <v>3651</v>
      </c>
      <c r="G184" s="510">
        <v>3731</v>
      </c>
      <c r="H184" s="510">
        <v>3817</v>
      </c>
      <c r="I184" s="511">
        <f t="shared" si="65"/>
        <v>3950.5949999999998</v>
      </c>
      <c r="J184" s="511">
        <f t="shared" si="65"/>
        <v>4069.11285</v>
      </c>
      <c r="K184" s="511">
        <f t="shared" si="65"/>
        <v>4191.1862355000003</v>
      </c>
      <c r="L184" s="511">
        <f t="shared" si="65"/>
        <v>4295.9658913875001</v>
      </c>
      <c r="M184" s="511">
        <f t="shared" si="65"/>
        <v>4403.3650386721874</v>
      </c>
      <c r="P184" s="386"/>
    </row>
    <row r="185" spans="2:16" s="385" customFormat="1" ht="15" customHeight="1" outlineLevel="1">
      <c r="B185" s="427" t="s">
        <v>144</v>
      </c>
      <c r="C185" s="398"/>
      <c r="D185" s="403"/>
      <c r="F185" s="480">
        <f t="shared" ref="F185:M185" si="66">SUM(F183:F184)</f>
        <v>19281</v>
      </c>
      <c r="G185" s="480">
        <f t="shared" si="66"/>
        <v>19704</v>
      </c>
      <c r="H185" s="480">
        <f t="shared" si="66"/>
        <v>20158</v>
      </c>
      <c r="I185" s="480">
        <f t="shared" si="66"/>
        <v>20863.53</v>
      </c>
      <c r="J185" s="480">
        <f t="shared" si="66"/>
        <v>21489.4359</v>
      </c>
      <c r="K185" s="480">
        <f t="shared" si="66"/>
        <v>22134.118977000002</v>
      </c>
      <c r="L185" s="480">
        <f t="shared" si="66"/>
        <v>22687.471951424999</v>
      </c>
      <c r="M185" s="480">
        <f t="shared" si="66"/>
        <v>23254.658750210627</v>
      </c>
      <c r="P185" s="386"/>
    </row>
    <row r="186" spans="2:16" s="385" customFormat="1" ht="15" customHeight="1" outlineLevel="1">
      <c r="B186" s="505"/>
      <c r="C186" s="506"/>
      <c r="D186" s="483"/>
      <c r="E186" s="396"/>
      <c r="F186" s="507"/>
      <c r="G186" s="512"/>
      <c r="H186" s="512"/>
      <c r="I186" s="507"/>
      <c r="J186" s="507"/>
      <c r="K186" s="507"/>
      <c r="L186" s="507"/>
      <c r="M186" s="507"/>
      <c r="P186" s="386"/>
    </row>
    <row r="187" spans="2:16" s="385" customFormat="1" ht="15" customHeight="1" outlineLevel="1">
      <c r="B187" s="401"/>
      <c r="C187" s="398"/>
      <c r="D187" s="403"/>
      <c r="F187" s="449"/>
      <c r="G187" s="487"/>
      <c r="H187" s="487"/>
      <c r="I187" s="449"/>
      <c r="J187" s="449"/>
      <c r="K187" s="449"/>
      <c r="L187" s="449"/>
      <c r="M187" s="449"/>
      <c r="P187" s="386"/>
    </row>
    <row r="188" spans="2:16" s="385" customFormat="1" ht="15" customHeight="1" outlineLevel="1">
      <c r="B188" s="476" t="s">
        <v>143</v>
      </c>
      <c r="C188" s="398"/>
      <c r="D188" s="403"/>
      <c r="F188" s="449"/>
      <c r="G188" s="449"/>
      <c r="H188" s="449"/>
      <c r="I188" s="449"/>
      <c r="P188" s="386"/>
    </row>
    <row r="189" spans="2:16" s="385" customFormat="1" ht="15" customHeight="1" outlineLevel="1">
      <c r="B189" s="476"/>
      <c r="C189" s="398"/>
      <c r="D189" s="403"/>
      <c r="F189" s="449"/>
      <c r="G189" s="449"/>
      <c r="H189" s="449"/>
      <c r="I189" s="449"/>
      <c r="J189" s="449"/>
      <c r="K189" s="449"/>
      <c r="L189" s="449"/>
      <c r="M189" s="449"/>
      <c r="P189" s="386"/>
    </row>
    <row r="190" spans="2:16" s="385" customFormat="1" ht="15" customHeight="1" outlineLevel="1">
      <c r="B190" s="427" t="s">
        <v>141</v>
      </c>
      <c r="C190" s="398"/>
      <c r="D190" s="403" t="s">
        <v>142</v>
      </c>
      <c r="F190" s="492">
        <f t="shared" ref="F190:M190" si="67">F170</f>
        <v>10.3</v>
      </c>
      <c r="G190" s="492">
        <f t="shared" si="67"/>
        <v>10.56</v>
      </c>
      <c r="H190" s="492">
        <f t="shared" si="67"/>
        <v>10.77</v>
      </c>
      <c r="I190" s="492">
        <f t="shared" si="67"/>
        <v>11.14695</v>
      </c>
      <c r="J190" s="492">
        <f t="shared" si="67"/>
        <v>11.481358500000001</v>
      </c>
      <c r="K190" s="492">
        <f t="shared" si="67"/>
        <v>11.825799255000002</v>
      </c>
      <c r="L190" s="492">
        <f t="shared" si="67"/>
        <v>12.121444236375</v>
      </c>
      <c r="M190" s="492">
        <f t="shared" si="67"/>
        <v>12.424480342284374</v>
      </c>
      <c r="P190" s="386"/>
    </row>
    <row r="191" spans="2:16" s="385" customFormat="1" ht="15" customHeight="1" outlineLevel="1">
      <c r="B191" s="427" t="s">
        <v>140</v>
      </c>
      <c r="C191" s="398"/>
      <c r="D191" s="403" t="s">
        <v>142</v>
      </c>
      <c r="F191" s="509">
        <f t="shared" ref="F191:M191" si="68">F181</f>
        <v>37.731898238747554</v>
      </c>
      <c r="G191" s="509">
        <f t="shared" si="68"/>
        <v>38.532163914229564</v>
      </c>
      <c r="H191" s="509">
        <f t="shared" si="68"/>
        <v>38.620557524667113</v>
      </c>
      <c r="I191" s="509">
        <f t="shared" si="68"/>
        <v>39.188506900029857</v>
      </c>
      <c r="J191" s="509">
        <f t="shared" si="68"/>
        <v>39.964516937654224</v>
      </c>
      <c r="K191" s="509">
        <f t="shared" si="68"/>
        <v>40.755893510677062</v>
      </c>
      <c r="L191" s="509">
        <f t="shared" si="68"/>
        <v>41.566956068103487</v>
      </c>
      <c r="M191" s="509">
        <f t="shared" si="68"/>
        <v>42.394159173936387</v>
      </c>
      <c r="P191" s="386"/>
    </row>
    <row r="192" spans="2:16" s="385" customFormat="1" ht="15" customHeight="1" outlineLevel="1">
      <c r="B192" s="427" t="s">
        <v>139</v>
      </c>
      <c r="C192" s="398"/>
      <c r="D192" s="403" t="s">
        <v>142</v>
      </c>
      <c r="F192" s="492">
        <f t="shared" ref="F192:M192" si="69">SUM(F190:F191)</f>
        <v>48.031898238747559</v>
      </c>
      <c r="G192" s="492">
        <f t="shared" si="69"/>
        <v>49.092163914229566</v>
      </c>
      <c r="H192" s="492">
        <f t="shared" si="69"/>
        <v>49.390557524667116</v>
      </c>
      <c r="I192" s="492">
        <f t="shared" si="69"/>
        <v>50.335456900029854</v>
      </c>
      <c r="J192" s="492">
        <f t="shared" si="69"/>
        <v>51.445875437654223</v>
      </c>
      <c r="K192" s="492">
        <f t="shared" si="69"/>
        <v>52.581692765677062</v>
      </c>
      <c r="L192" s="492">
        <f t="shared" si="69"/>
        <v>53.688400304478485</v>
      </c>
      <c r="M192" s="492">
        <f t="shared" si="69"/>
        <v>54.818639516220763</v>
      </c>
      <c r="P192" s="386"/>
    </row>
    <row r="193" spans="1:16" s="385" customFormat="1" ht="15" customHeight="1" outlineLevel="1">
      <c r="B193" s="401"/>
      <c r="C193" s="398"/>
      <c r="D193" s="403"/>
      <c r="F193" s="492"/>
      <c r="G193" s="492"/>
      <c r="H193" s="492"/>
      <c r="I193" s="492"/>
      <c r="J193" s="492"/>
      <c r="K193" s="492"/>
      <c r="L193" s="492"/>
      <c r="M193" s="492"/>
      <c r="P193" s="386"/>
    </row>
    <row r="194" spans="1:16" s="385" customFormat="1" ht="15" customHeight="1" outlineLevel="1">
      <c r="B194" s="427" t="s">
        <v>141</v>
      </c>
      <c r="C194" s="398"/>
      <c r="D194" s="403"/>
      <c r="F194" s="480">
        <f t="shared" ref="F194:M194" si="70">F174</f>
        <v>5263.3</v>
      </c>
      <c r="G194" s="480">
        <f t="shared" si="70"/>
        <v>5400.0144</v>
      </c>
      <c r="H194" s="480">
        <f t="shared" si="70"/>
        <v>5621.4015000000009</v>
      </c>
      <c r="I194" s="480">
        <f t="shared" si="70"/>
        <v>5934.5135635500001</v>
      </c>
      <c r="J194" s="480">
        <f t="shared" si="70"/>
        <v>6173.6744601610662</v>
      </c>
      <c r="K194" s="480">
        <f t="shared" si="70"/>
        <v>6422.4735409055584</v>
      </c>
      <c r="L194" s="480">
        <f t="shared" si="70"/>
        <v>6615.950556325336</v>
      </c>
      <c r="M194" s="480">
        <f t="shared" si="70"/>
        <v>6815.2560668346359</v>
      </c>
      <c r="P194" s="386"/>
    </row>
    <row r="195" spans="1:16" s="385" customFormat="1" ht="15" customHeight="1" outlineLevel="1">
      <c r="B195" s="427" t="s">
        <v>140</v>
      </c>
      <c r="C195" s="398"/>
      <c r="D195" s="403"/>
      <c r="F195" s="480">
        <f t="shared" ref="F195:M195" si="71">F185</f>
        <v>19281</v>
      </c>
      <c r="G195" s="480">
        <f t="shared" si="71"/>
        <v>19704</v>
      </c>
      <c r="H195" s="480">
        <f t="shared" si="71"/>
        <v>20158</v>
      </c>
      <c r="I195" s="480">
        <f t="shared" si="71"/>
        <v>20863.53</v>
      </c>
      <c r="J195" s="480">
        <f t="shared" si="71"/>
        <v>21489.4359</v>
      </c>
      <c r="K195" s="480">
        <f t="shared" si="71"/>
        <v>22134.118977000002</v>
      </c>
      <c r="L195" s="480">
        <f t="shared" si="71"/>
        <v>22687.471951424999</v>
      </c>
      <c r="M195" s="480">
        <f t="shared" si="71"/>
        <v>23254.658750210627</v>
      </c>
      <c r="P195" s="386"/>
    </row>
    <row r="196" spans="1:16" s="385" customFormat="1" ht="15" customHeight="1" outlineLevel="1" thickBot="1">
      <c r="B196" s="427" t="s">
        <v>139</v>
      </c>
      <c r="C196" s="398"/>
      <c r="D196" s="403"/>
      <c r="F196" s="513">
        <f t="shared" ref="F196:M196" si="72">SUM(F194:F195)</f>
        <v>24544.3</v>
      </c>
      <c r="G196" s="513">
        <f t="shared" si="72"/>
        <v>25104.0144</v>
      </c>
      <c r="H196" s="513">
        <f t="shared" si="72"/>
        <v>25779.4015</v>
      </c>
      <c r="I196" s="513">
        <f t="shared" si="72"/>
        <v>26798.04356355</v>
      </c>
      <c r="J196" s="513">
        <f t="shared" si="72"/>
        <v>27663.110360161067</v>
      </c>
      <c r="K196" s="513">
        <f t="shared" si="72"/>
        <v>28556.592517905559</v>
      </c>
      <c r="L196" s="513">
        <f t="shared" si="72"/>
        <v>29303.422507750336</v>
      </c>
      <c r="M196" s="513">
        <f t="shared" si="72"/>
        <v>30069.914817045261</v>
      </c>
      <c r="P196" s="386"/>
    </row>
    <row r="197" spans="1:16" s="385" customFormat="1" ht="15" customHeight="1" outlineLevel="1">
      <c r="B197" s="476"/>
      <c r="C197" s="398"/>
      <c r="D197" s="403"/>
      <c r="F197" s="480"/>
      <c r="G197" s="480"/>
      <c r="H197" s="480"/>
      <c r="I197" s="480"/>
      <c r="J197" s="480"/>
      <c r="K197" s="480"/>
      <c r="L197" s="480"/>
      <c r="M197" s="480"/>
      <c r="P197" s="386"/>
    </row>
    <row r="198" spans="1:16" s="385" customFormat="1" ht="15" customHeight="1" outlineLevel="1">
      <c r="B198" s="505"/>
      <c r="C198" s="482"/>
      <c r="D198" s="483"/>
      <c r="E198" s="484"/>
      <c r="F198" s="510"/>
      <c r="G198" s="510"/>
      <c r="H198" s="514"/>
      <c r="I198" s="514"/>
      <c r="J198" s="514"/>
      <c r="K198" s="514"/>
      <c r="L198" s="514"/>
      <c r="M198" s="514"/>
      <c r="N198" s="407"/>
      <c r="O198" s="407"/>
    </row>
    <row r="199" spans="1:16" s="385" customFormat="1" ht="15" customHeight="1">
      <c r="B199" s="401"/>
      <c r="C199" s="402"/>
      <c r="D199" s="403"/>
      <c r="E199" s="404"/>
      <c r="F199" s="405"/>
      <c r="G199" s="405"/>
      <c r="H199" s="515"/>
      <c r="I199" s="515"/>
      <c r="J199" s="515"/>
      <c r="K199" s="515"/>
      <c r="L199" s="515"/>
      <c r="M199" s="515"/>
      <c r="N199" s="407"/>
      <c r="O199" s="407"/>
    </row>
    <row r="200" spans="1:16" s="412" customFormat="1" ht="15" customHeight="1">
      <c r="A200" s="412" t="s">
        <v>0</v>
      </c>
      <c r="B200" s="408" t="s">
        <v>138</v>
      </c>
      <c r="C200" s="409"/>
      <c r="D200" s="516"/>
      <c r="E200" s="516"/>
      <c r="F200" s="411"/>
      <c r="G200" s="411"/>
      <c r="H200" s="411"/>
      <c r="I200" s="517"/>
      <c r="J200" s="518"/>
      <c r="K200" s="518"/>
      <c r="L200" s="518"/>
      <c r="M200" s="518"/>
      <c r="N200" s="407"/>
      <c r="O200" s="407"/>
    </row>
    <row r="201" spans="1:16" s="412" customFormat="1" ht="15" customHeight="1" outlineLevel="1">
      <c r="B201" s="413"/>
      <c r="C201" s="402"/>
      <c r="D201" s="414"/>
      <c r="E201" s="414"/>
      <c r="F201" s="415"/>
      <c r="G201" s="415"/>
      <c r="H201" s="415"/>
      <c r="I201" s="415"/>
      <c r="J201" s="415"/>
      <c r="K201" s="415"/>
      <c r="L201" s="415"/>
      <c r="M201" s="415"/>
      <c r="N201" s="464"/>
      <c r="O201" s="464"/>
    </row>
    <row r="202" spans="1:16" s="412" customFormat="1" ht="15" customHeight="1" outlineLevel="1" thickBot="1">
      <c r="B202" s="417" t="s">
        <v>15</v>
      </c>
      <c r="C202" s="402"/>
      <c r="D202" s="404"/>
      <c r="E202" s="404"/>
      <c r="F202" s="418">
        <f t="shared" ref="F202:M202" si="73">F$4</f>
        <v>2020</v>
      </c>
      <c r="G202" s="418">
        <f t="shared" si="73"/>
        <v>2021</v>
      </c>
      <c r="H202" s="418">
        <f t="shared" si="73"/>
        <v>2022</v>
      </c>
      <c r="I202" s="419">
        <f t="shared" si="73"/>
        <v>2023</v>
      </c>
      <c r="J202" s="419">
        <f t="shared" si="73"/>
        <v>2024</v>
      </c>
      <c r="K202" s="419">
        <f t="shared" si="73"/>
        <v>2025</v>
      </c>
      <c r="L202" s="419">
        <f t="shared" si="73"/>
        <v>2026</v>
      </c>
      <c r="M202" s="419">
        <f t="shared" si="73"/>
        <v>2027</v>
      </c>
      <c r="P202" s="386"/>
    </row>
    <row r="203" spans="1:16" ht="15" customHeight="1" outlineLevel="1">
      <c r="A203" s="385"/>
      <c r="B203" s="417" t="str">
        <f>B$5</f>
        <v>Model Running: Base Case Drivers</v>
      </c>
      <c r="C203" s="402"/>
      <c r="D203" s="404"/>
      <c r="E203" s="404"/>
      <c r="F203" s="404"/>
      <c r="G203" s="404"/>
      <c r="H203" s="404"/>
      <c r="I203" s="421"/>
      <c r="J203" s="421"/>
      <c r="K203" s="421"/>
      <c r="L203" s="421"/>
      <c r="M203" s="421"/>
      <c r="P203" s="407"/>
    </row>
    <row r="204" spans="1:16" s="412" customFormat="1" ht="15" customHeight="1" outlineLevel="1">
      <c r="B204" s="417"/>
      <c r="C204" s="402"/>
      <c r="D204" s="404"/>
      <c r="E204" s="404"/>
      <c r="F204" s="404"/>
      <c r="G204" s="404"/>
      <c r="H204" s="404"/>
      <c r="N204" s="464"/>
      <c r="O204" s="464"/>
    </row>
    <row r="205" spans="1:16" s="385" customFormat="1" ht="15" customHeight="1" outlineLevel="1">
      <c r="B205" s="427" t="s">
        <v>37</v>
      </c>
      <c r="C205" s="398"/>
      <c r="D205" s="403"/>
      <c r="F205" s="498">
        <f t="shared" ref="F205:M205" si="74">F135</f>
        <v>365</v>
      </c>
      <c r="G205" s="486">
        <f t="shared" si="74"/>
        <v>365</v>
      </c>
      <c r="H205" s="486">
        <f t="shared" si="74"/>
        <v>365</v>
      </c>
      <c r="I205" s="486">
        <f t="shared" si="74"/>
        <v>365</v>
      </c>
      <c r="J205" s="486">
        <f t="shared" si="74"/>
        <v>365</v>
      </c>
      <c r="K205" s="486">
        <f t="shared" si="74"/>
        <v>365</v>
      </c>
      <c r="L205" s="486">
        <f t="shared" si="74"/>
        <v>365</v>
      </c>
      <c r="M205" s="499">
        <f t="shared" si="74"/>
        <v>365</v>
      </c>
      <c r="N205" s="407"/>
      <c r="O205" s="407"/>
    </row>
    <row r="206" spans="1:16" s="385" customFormat="1" ht="15" customHeight="1" outlineLevel="1">
      <c r="B206" s="427" t="s">
        <v>13</v>
      </c>
      <c r="F206" s="519">
        <f t="shared" ref="F206:M206" si="75">F10</f>
        <v>50589</v>
      </c>
      <c r="G206" s="480">
        <f t="shared" si="75"/>
        <v>51647.864999999998</v>
      </c>
      <c r="H206" s="480">
        <f t="shared" si="75"/>
        <v>53760.85</v>
      </c>
      <c r="I206" s="480">
        <f t="shared" si="75"/>
        <v>56481.149010000008</v>
      </c>
      <c r="J206" s="480">
        <f t="shared" si="75"/>
        <v>57616.420105101002</v>
      </c>
      <c r="K206" s="480">
        <f t="shared" si="75"/>
        <v>58774.510149213551</v>
      </c>
      <c r="L206" s="480">
        <f t="shared" si="75"/>
        <v>59659.066526959199</v>
      </c>
      <c r="M206" s="520">
        <f t="shared" si="75"/>
        <v>60257.148668891954</v>
      </c>
      <c r="N206" s="407"/>
      <c r="O206" s="407"/>
    </row>
    <row r="207" spans="1:16" s="385" customFormat="1" ht="15" customHeight="1" outlineLevel="1">
      <c r="B207" s="427" t="s">
        <v>137</v>
      </c>
      <c r="F207" s="521">
        <f t="shared" ref="F207:M207" si="76">-F11</f>
        <v>24544.3</v>
      </c>
      <c r="G207" s="485">
        <f t="shared" si="76"/>
        <v>25104.0144</v>
      </c>
      <c r="H207" s="485">
        <f t="shared" si="76"/>
        <v>25779.4015</v>
      </c>
      <c r="I207" s="485">
        <f t="shared" si="76"/>
        <v>26798.04356355</v>
      </c>
      <c r="J207" s="485">
        <f t="shared" si="76"/>
        <v>27663.110360161067</v>
      </c>
      <c r="K207" s="485">
        <f t="shared" si="76"/>
        <v>28556.592517905559</v>
      </c>
      <c r="L207" s="485">
        <f t="shared" si="76"/>
        <v>29303.422507750336</v>
      </c>
      <c r="M207" s="522">
        <f t="shared" si="76"/>
        <v>30069.914817045261</v>
      </c>
      <c r="N207" s="407"/>
      <c r="O207" s="407"/>
    </row>
    <row r="208" spans="1:16" s="385" customFormat="1" ht="15" customHeight="1" outlineLevel="1">
      <c r="C208" s="434"/>
      <c r="I208" s="388"/>
      <c r="J208" s="388"/>
      <c r="K208" s="388"/>
      <c r="L208" s="388"/>
      <c r="M208" s="388"/>
      <c r="N208" s="464"/>
      <c r="O208" s="464"/>
    </row>
    <row r="209" spans="2:16" s="385" customFormat="1" ht="15" customHeight="1" outlineLevel="1">
      <c r="C209" s="434"/>
      <c r="I209" s="388"/>
      <c r="J209" s="388"/>
      <c r="K209" s="388"/>
      <c r="L209" s="388"/>
      <c r="M209" s="388"/>
      <c r="N209" s="464"/>
      <c r="O209" s="464"/>
    </row>
    <row r="210" spans="2:16" s="385" customFormat="1" ht="15" customHeight="1" outlineLevel="1">
      <c r="B210" s="476" t="s">
        <v>136</v>
      </c>
      <c r="C210" s="434"/>
      <c r="I210" s="388"/>
      <c r="J210" s="388"/>
      <c r="K210" s="388"/>
      <c r="L210" s="388"/>
      <c r="M210" s="388"/>
      <c r="N210" s="464"/>
      <c r="O210" s="464"/>
      <c r="P210" s="474"/>
    </row>
    <row r="211" spans="2:16" s="385" customFormat="1" ht="15" customHeight="1" outlineLevel="1">
      <c r="B211" s="453" t="s">
        <v>51</v>
      </c>
      <c r="D211" s="403" t="s">
        <v>48</v>
      </c>
      <c r="E211" s="403"/>
      <c r="F211" s="406">
        <f t="shared" ref="F211:H212" si="77">(F217/F206)*F$205</f>
        <v>41.18326118326118</v>
      </c>
      <c r="G211" s="406">
        <f t="shared" si="77"/>
        <v>44.755867449700006</v>
      </c>
      <c r="H211" s="406">
        <f t="shared" si="77"/>
        <v>44.972503224930414</v>
      </c>
      <c r="I211" s="406">
        <f>Inputs!H37</f>
        <v>45</v>
      </c>
      <c r="J211" s="406">
        <f>Inputs!I37</f>
        <v>45</v>
      </c>
      <c r="K211" s="406">
        <f>Inputs!J37</f>
        <v>45</v>
      </c>
      <c r="L211" s="406">
        <f>Inputs!K37</f>
        <v>45</v>
      </c>
      <c r="M211" s="406">
        <f>Inputs!L37</f>
        <v>45</v>
      </c>
      <c r="P211" s="393"/>
    </row>
    <row r="212" spans="2:16" s="385" customFormat="1" ht="15" customHeight="1" outlineLevel="1">
      <c r="B212" s="453" t="s">
        <v>50</v>
      </c>
      <c r="D212" s="403" t="s">
        <v>48</v>
      </c>
      <c r="E212" s="403"/>
      <c r="F212" s="406">
        <f t="shared" si="77"/>
        <v>26.648957191690126</v>
      </c>
      <c r="G212" s="406">
        <f t="shared" si="77"/>
        <v>27.959472489786332</v>
      </c>
      <c r="H212" s="406">
        <f t="shared" si="77"/>
        <v>28.444609158207186</v>
      </c>
      <c r="I212" s="406">
        <f>Inputs!H38</f>
        <v>25</v>
      </c>
      <c r="J212" s="406">
        <f>Inputs!I38</f>
        <v>25</v>
      </c>
      <c r="K212" s="406">
        <f>Inputs!J38</f>
        <v>25</v>
      </c>
      <c r="L212" s="406">
        <f>Inputs!K38</f>
        <v>25</v>
      </c>
      <c r="M212" s="406">
        <f>Inputs!L38</f>
        <v>25</v>
      </c>
      <c r="P212" s="393"/>
    </row>
    <row r="213" spans="2:16" s="385" customFormat="1" ht="15" customHeight="1" outlineLevel="1">
      <c r="B213" s="453" t="s">
        <v>49</v>
      </c>
      <c r="D213" s="403" t="s">
        <v>48</v>
      </c>
      <c r="E213" s="403"/>
      <c r="F213" s="406">
        <f>(F219/F207)*F$205</f>
        <v>44.970115260977096</v>
      </c>
      <c r="G213" s="406">
        <f>(G219/G207)*G$205</f>
        <v>46.599120816310553</v>
      </c>
      <c r="H213" s="406">
        <f>(H219/H207)*H$205</f>
        <v>46.992363263359699</v>
      </c>
      <c r="I213" s="406">
        <f>Inputs!H39</f>
        <v>40</v>
      </c>
      <c r="J213" s="406">
        <f>Inputs!I39</f>
        <v>40</v>
      </c>
      <c r="K213" s="406">
        <f>Inputs!J39</f>
        <v>40</v>
      </c>
      <c r="L213" s="406">
        <f>Inputs!K39</f>
        <v>40</v>
      </c>
      <c r="M213" s="406">
        <f>Inputs!L39</f>
        <v>40</v>
      </c>
      <c r="P213" s="393"/>
    </row>
    <row r="214" spans="2:16" s="385" customFormat="1" ht="15" customHeight="1" outlineLevel="1">
      <c r="D214" s="403"/>
      <c r="E214" s="403"/>
      <c r="F214" s="523"/>
      <c r="G214" s="524"/>
      <c r="H214" s="524"/>
      <c r="I214" s="461"/>
      <c r="J214" s="461"/>
      <c r="K214" s="461"/>
      <c r="L214" s="461"/>
      <c r="M214" s="461"/>
      <c r="P214" s="525"/>
    </row>
    <row r="215" spans="2:16" s="385" customFormat="1" ht="15" customHeight="1" outlineLevel="1">
      <c r="D215" s="403"/>
      <c r="E215" s="403"/>
      <c r="F215" s="523"/>
      <c r="G215" s="524"/>
      <c r="H215" s="524"/>
      <c r="I215" s="461"/>
      <c r="J215" s="461"/>
      <c r="K215" s="461"/>
      <c r="L215" s="461"/>
      <c r="M215" s="461"/>
      <c r="P215" s="525"/>
    </row>
    <row r="216" spans="2:16" s="385" customFormat="1" ht="15" customHeight="1" outlineLevel="1">
      <c r="B216" s="476" t="s">
        <v>135</v>
      </c>
      <c r="C216" s="434"/>
      <c r="I216" s="388"/>
      <c r="J216" s="388"/>
      <c r="K216" s="388"/>
      <c r="L216" s="388"/>
      <c r="M216" s="388"/>
      <c r="N216" s="464"/>
      <c r="O216" s="464"/>
    </row>
    <row r="217" spans="2:16" s="385" customFormat="1" ht="15" customHeight="1" outlineLevel="1">
      <c r="B217" s="453" t="s">
        <v>51</v>
      </c>
      <c r="F217" s="480">
        <f t="shared" ref="F217:H218" si="78">F82</f>
        <v>5708</v>
      </c>
      <c r="G217" s="480">
        <f t="shared" si="78"/>
        <v>6333</v>
      </c>
      <c r="H217" s="480">
        <f t="shared" si="78"/>
        <v>6624</v>
      </c>
      <c r="I217" s="480">
        <f t="shared" ref="I217:M218" si="79">(I211/I$205)*I206</f>
        <v>6963.4293300000008</v>
      </c>
      <c r="J217" s="480">
        <f t="shared" si="79"/>
        <v>7103.394259533</v>
      </c>
      <c r="K217" s="480">
        <f t="shared" si="79"/>
        <v>7246.1724841496152</v>
      </c>
      <c r="L217" s="480">
        <f t="shared" si="79"/>
        <v>7355.2273800360654</v>
      </c>
      <c r="M217" s="480">
        <f t="shared" si="79"/>
        <v>7428.9635345209254</v>
      </c>
      <c r="N217" s="464"/>
      <c r="O217" s="464"/>
    </row>
    <row r="218" spans="2:16" s="385" customFormat="1" ht="15" customHeight="1" outlineLevel="1">
      <c r="B218" s="453" t="s">
        <v>50</v>
      </c>
      <c r="F218" s="480">
        <f t="shared" si="78"/>
        <v>1792</v>
      </c>
      <c r="G218" s="480">
        <f t="shared" si="78"/>
        <v>1923</v>
      </c>
      <c r="H218" s="480">
        <f t="shared" si="78"/>
        <v>2009</v>
      </c>
      <c r="I218" s="480">
        <f t="shared" si="79"/>
        <v>1835.482435859589</v>
      </c>
      <c r="J218" s="480">
        <f t="shared" si="79"/>
        <v>1894.7335863124017</v>
      </c>
      <c r="K218" s="480">
        <f t="shared" si="79"/>
        <v>1955.9309943770929</v>
      </c>
      <c r="L218" s="480">
        <f t="shared" si="79"/>
        <v>2007.0837334075572</v>
      </c>
      <c r="M218" s="480">
        <f t="shared" si="79"/>
        <v>2059.5832066469357</v>
      </c>
      <c r="N218" s="464"/>
      <c r="O218" s="464"/>
    </row>
    <row r="219" spans="2:16" s="385" customFormat="1" ht="15" customHeight="1" outlineLevel="1">
      <c r="B219" s="453" t="s">
        <v>49</v>
      </c>
      <c r="F219" s="480">
        <f>F94</f>
        <v>3024</v>
      </c>
      <c r="G219" s="480">
        <f>G94</f>
        <v>3205</v>
      </c>
      <c r="H219" s="480">
        <f>H94</f>
        <v>3319</v>
      </c>
      <c r="I219" s="480">
        <f>(I213/I$205)*I207</f>
        <v>2936.7718973753422</v>
      </c>
      <c r="J219" s="480">
        <f>(J213/J$205)*J207</f>
        <v>3031.5737380998426</v>
      </c>
      <c r="K219" s="480">
        <f>(K213/K$205)*K207</f>
        <v>3129.4895910033488</v>
      </c>
      <c r="L219" s="480">
        <f>(L213/L$205)*L207</f>
        <v>3211.3339734520914</v>
      </c>
      <c r="M219" s="480">
        <f>(M213/M$205)*M207</f>
        <v>3295.3331306350969</v>
      </c>
      <c r="N219" s="464"/>
      <c r="O219" s="464"/>
    </row>
    <row r="220" spans="2:16" s="385" customFormat="1" ht="15" customHeight="1" outlineLevel="1">
      <c r="C220" s="434"/>
      <c r="I220" s="388"/>
      <c r="J220" s="388"/>
      <c r="K220" s="388"/>
      <c r="L220" s="388"/>
      <c r="M220" s="388"/>
      <c r="N220" s="464"/>
      <c r="O220" s="464"/>
    </row>
    <row r="221" spans="2:16" s="385" customFormat="1" ht="15" customHeight="1" outlineLevel="1">
      <c r="B221" s="396"/>
      <c r="C221" s="447"/>
      <c r="D221" s="396"/>
      <c r="E221" s="396"/>
      <c r="F221" s="396"/>
      <c r="G221" s="396"/>
      <c r="H221" s="396"/>
      <c r="I221" s="526"/>
      <c r="J221" s="526"/>
      <c r="K221" s="526"/>
      <c r="L221" s="526"/>
      <c r="M221" s="526"/>
      <c r="N221" s="464"/>
      <c r="O221" s="464"/>
    </row>
    <row r="222" spans="2:16" s="385" customFormat="1" ht="15" customHeight="1" outlineLevel="1">
      <c r="C222" s="434"/>
      <c r="I222" s="388"/>
      <c r="J222" s="388"/>
      <c r="K222" s="388"/>
      <c r="L222" s="388"/>
      <c r="M222" s="388"/>
      <c r="N222" s="464"/>
      <c r="O222" s="464"/>
    </row>
    <row r="223" spans="2:16" s="385" customFormat="1" ht="15" customHeight="1" outlineLevel="1">
      <c r="C223" s="434"/>
      <c r="I223" s="388"/>
      <c r="J223" s="388"/>
      <c r="K223" s="388"/>
      <c r="L223" s="388"/>
      <c r="M223" s="388"/>
      <c r="N223" s="464"/>
      <c r="O223" s="464"/>
    </row>
    <row r="224" spans="2:16" s="385" customFormat="1" ht="15" customHeight="1" outlineLevel="1">
      <c r="B224" s="476" t="s">
        <v>134</v>
      </c>
      <c r="C224" s="434"/>
      <c r="I224" s="388"/>
      <c r="J224" s="388"/>
      <c r="K224" s="388"/>
      <c r="L224" s="388"/>
      <c r="M224" s="388"/>
      <c r="N224" s="464"/>
      <c r="O224" s="464"/>
    </row>
    <row r="225" spans="1:16" s="385" customFormat="1" ht="15" customHeight="1" outlineLevel="1">
      <c r="B225" s="453" t="s">
        <v>51</v>
      </c>
      <c r="F225" s="480"/>
      <c r="G225" s="480">
        <f t="shared" ref="G225:M226" si="80">F217-G217</f>
        <v>-625</v>
      </c>
      <c r="H225" s="480">
        <f t="shared" si="80"/>
        <v>-291</v>
      </c>
      <c r="I225" s="480">
        <f t="shared" si="80"/>
        <v>-339.42933000000085</v>
      </c>
      <c r="J225" s="480">
        <f t="shared" si="80"/>
        <v>-139.96492953299912</v>
      </c>
      <c r="K225" s="480">
        <f t="shared" si="80"/>
        <v>-142.77822461661526</v>
      </c>
      <c r="L225" s="480">
        <f t="shared" si="80"/>
        <v>-109.05489588645014</v>
      </c>
      <c r="M225" s="480">
        <f t="shared" si="80"/>
        <v>-73.736154484859981</v>
      </c>
      <c r="N225" s="464"/>
      <c r="O225" s="464"/>
    </row>
    <row r="226" spans="1:16" s="385" customFormat="1" ht="15" customHeight="1" outlineLevel="1">
      <c r="B226" s="453" t="s">
        <v>50</v>
      </c>
      <c r="F226" s="480"/>
      <c r="G226" s="480">
        <f t="shared" si="80"/>
        <v>-131</v>
      </c>
      <c r="H226" s="480">
        <f t="shared" si="80"/>
        <v>-86</v>
      </c>
      <c r="I226" s="480">
        <f t="shared" si="80"/>
        <v>173.51756414041097</v>
      </c>
      <c r="J226" s="480">
        <f t="shared" si="80"/>
        <v>-59.251150452812681</v>
      </c>
      <c r="K226" s="480">
        <f t="shared" si="80"/>
        <v>-61.197408064691217</v>
      </c>
      <c r="L226" s="480">
        <f t="shared" si="80"/>
        <v>-51.152739030464318</v>
      </c>
      <c r="M226" s="480">
        <f t="shared" si="80"/>
        <v>-52.499473239378403</v>
      </c>
      <c r="N226" s="464"/>
      <c r="O226" s="464"/>
    </row>
    <row r="227" spans="1:16" s="385" customFormat="1" ht="15" customHeight="1" outlineLevel="1">
      <c r="B227" s="453" t="s">
        <v>49</v>
      </c>
      <c r="F227" s="480"/>
      <c r="G227" s="480">
        <f t="shared" ref="G227:M227" si="81">G219-F219</f>
        <v>181</v>
      </c>
      <c r="H227" s="480">
        <f t="shared" si="81"/>
        <v>114</v>
      </c>
      <c r="I227" s="480">
        <f t="shared" si="81"/>
        <v>-382.22810262465782</v>
      </c>
      <c r="J227" s="480">
        <f t="shared" si="81"/>
        <v>94.80184072450038</v>
      </c>
      <c r="K227" s="480">
        <f t="shared" si="81"/>
        <v>97.91585290350622</v>
      </c>
      <c r="L227" s="480">
        <f t="shared" si="81"/>
        <v>81.844382448742635</v>
      </c>
      <c r="M227" s="480">
        <f t="shared" si="81"/>
        <v>83.999157183005536</v>
      </c>
      <c r="N227" s="464"/>
      <c r="O227" s="464"/>
    </row>
    <row r="228" spans="1:16" s="385" customFormat="1" ht="15" customHeight="1" outlineLevel="1" thickBot="1">
      <c r="B228" s="453" t="s">
        <v>133</v>
      </c>
      <c r="C228" s="434"/>
      <c r="D228" s="434"/>
      <c r="E228" s="434"/>
      <c r="F228" s="434"/>
      <c r="G228" s="513">
        <f t="shared" ref="G228:M228" si="82">SUM(G225:G227)</f>
        <v>-575</v>
      </c>
      <c r="H228" s="513">
        <f t="shared" si="82"/>
        <v>-263</v>
      </c>
      <c r="I228" s="513">
        <f t="shared" si="82"/>
        <v>-548.1398684842477</v>
      </c>
      <c r="J228" s="513">
        <f t="shared" si="82"/>
        <v>-104.41423926131142</v>
      </c>
      <c r="K228" s="513">
        <f t="shared" si="82"/>
        <v>-106.05977977780026</v>
      </c>
      <c r="L228" s="513">
        <f t="shared" si="82"/>
        <v>-78.363252468171822</v>
      </c>
      <c r="M228" s="513">
        <f t="shared" si="82"/>
        <v>-42.236470541232848</v>
      </c>
      <c r="N228" s="464"/>
      <c r="O228" s="464"/>
    </row>
    <row r="229" spans="1:16" s="385" customFormat="1" ht="15" customHeight="1" outlineLevel="1">
      <c r="C229" s="434"/>
      <c r="I229" s="388"/>
      <c r="J229" s="388"/>
      <c r="K229" s="388"/>
      <c r="L229" s="388"/>
      <c r="M229" s="388"/>
      <c r="N229" s="464"/>
      <c r="O229" s="464"/>
    </row>
    <row r="230" spans="1:16" s="412" customFormat="1" ht="15" customHeight="1" outlineLevel="1">
      <c r="C230" s="402"/>
      <c r="D230" s="404"/>
      <c r="E230" s="404"/>
      <c r="F230" s="404"/>
      <c r="G230" s="404"/>
      <c r="H230" s="404"/>
      <c r="I230" s="421"/>
      <c r="J230" s="421"/>
      <c r="K230" s="421"/>
      <c r="M230" s="527"/>
      <c r="N230" s="407"/>
      <c r="O230" s="407"/>
      <c r="P230" s="474"/>
    </row>
    <row r="231" spans="1:16" s="385" customFormat="1" ht="15" customHeight="1" outlineLevel="1">
      <c r="D231" s="388"/>
      <c r="E231" s="388"/>
      <c r="F231" s="388"/>
      <c r="G231" s="388"/>
      <c r="H231" s="388"/>
      <c r="I231" s="388"/>
      <c r="J231" s="388"/>
      <c r="K231" s="388"/>
      <c r="L231" s="388"/>
      <c r="N231" s="464"/>
      <c r="O231" s="464"/>
    </row>
    <row r="232" spans="1:16" s="385" customFormat="1" ht="15" customHeight="1" outlineLevel="1">
      <c r="B232" s="506"/>
      <c r="C232" s="506"/>
      <c r="D232" s="506"/>
      <c r="E232" s="506"/>
      <c r="F232" s="506"/>
      <c r="G232" s="506"/>
      <c r="H232" s="506"/>
      <c r="I232" s="506"/>
      <c r="J232" s="506"/>
      <c r="K232" s="506"/>
      <c r="L232" s="506"/>
      <c r="M232" s="506"/>
      <c r="N232" s="464"/>
      <c r="O232" s="464"/>
    </row>
    <row r="233" spans="1:16" s="385" customFormat="1" ht="15" customHeight="1">
      <c r="B233" s="401"/>
      <c r="C233" s="398"/>
      <c r="D233" s="403"/>
      <c r="F233" s="449"/>
      <c r="G233" s="449"/>
      <c r="H233" s="449"/>
      <c r="I233" s="449"/>
      <c r="J233" s="449"/>
      <c r="K233" s="449"/>
      <c r="L233" s="449"/>
      <c r="M233" s="449"/>
      <c r="N233" s="407"/>
      <c r="O233" s="407"/>
    </row>
    <row r="234" spans="1:16" s="412" customFormat="1" ht="15" customHeight="1">
      <c r="A234" s="412" t="s">
        <v>0</v>
      </c>
      <c r="B234" s="528" t="s">
        <v>132</v>
      </c>
      <c r="C234" s="409"/>
      <c r="D234" s="516"/>
      <c r="E234" s="516"/>
      <c r="F234" s="411"/>
      <c r="G234" s="411"/>
      <c r="H234" s="411"/>
      <c r="I234" s="517"/>
      <c r="J234" s="518"/>
      <c r="K234" s="518"/>
      <c r="L234" s="518"/>
      <c r="M234" s="518"/>
      <c r="P234" s="407"/>
    </row>
    <row r="235" spans="1:16" s="412" customFormat="1" ht="15" customHeight="1" outlineLevel="1">
      <c r="B235" s="413"/>
      <c r="C235" s="402"/>
      <c r="D235" s="414"/>
      <c r="E235" s="414"/>
      <c r="F235" s="415"/>
      <c r="G235" s="415"/>
      <c r="H235" s="415"/>
      <c r="I235" s="415"/>
      <c r="J235" s="415"/>
      <c r="K235" s="415"/>
      <c r="L235" s="415"/>
      <c r="M235" s="415"/>
    </row>
    <row r="236" spans="1:16" s="412" customFormat="1" ht="15" customHeight="1" outlineLevel="1" thickBot="1">
      <c r="B236" s="417" t="s">
        <v>15</v>
      </c>
      <c r="C236" s="402"/>
      <c r="D236" s="404"/>
      <c r="E236" s="404"/>
      <c r="F236" s="404"/>
      <c r="G236" s="404"/>
      <c r="H236" s="418">
        <f t="shared" ref="H236:M236" si="83">H$4</f>
        <v>2022</v>
      </c>
      <c r="I236" s="419">
        <f t="shared" si="83"/>
        <v>2023</v>
      </c>
      <c r="J236" s="419">
        <f t="shared" si="83"/>
        <v>2024</v>
      </c>
      <c r="K236" s="419">
        <f t="shared" si="83"/>
        <v>2025</v>
      </c>
      <c r="L236" s="419">
        <f t="shared" si="83"/>
        <v>2026</v>
      </c>
      <c r="M236" s="419">
        <f t="shared" si="83"/>
        <v>2027</v>
      </c>
    </row>
    <row r="237" spans="1:16" ht="15" customHeight="1" outlineLevel="1">
      <c r="A237" s="385"/>
      <c r="B237" s="417" t="str">
        <f>B$5</f>
        <v>Model Running: Base Case Drivers</v>
      </c>
      <c r="C237" s="402"/>
      <c r="D237" s="404"/>
      <c r="E237" s="404"/>
      <c r="F237" s="404"/>
      <c r="G237" s="404"/>
      <c r="H237" s="404"/>
      <c r="I237" s="421"/>
      <c r="J237" s="421"/>
      <c r="K237" s="421"/>
      <c r="L237" s="421"/>
      <c r="M237" s="421"/>
      <c r="P237" s="407"/>
    </row>
    <row r="238" spans="1:16" s="412" customFormat="1" ht="15" customHeight="1" outlineLevel="1">
      <c r="B238" s="417"/>
      <c r="C238" s="402"/>
      <c r="D238" s="404"/>
      <c r="E238" s="404"/>
      <c r="F238" s="404"/>
      <c r="G238" s="404"/>
      <c r="H238" s="529"/>
      <c r="I238" s="529"/>
      <c r="J238" s="529"/>
      <c r="K238" s="529"/>
      <c r="L238" s="529"/>
      <c r="M238" s="529"/>
      <c r="P238" s="407"/>
    </row>
    <row r="239" spans="1:16" s="412" customFormat="1" ht="15" customHeight="1" outlineLevel="1">
      <c r="B239" s="530" t="s">
        <v>131</v>
      </c>
      <c r="C239" s="402"/>
      <c r="D239" s="404"/>
      <c r="E239" s="404"/>
      <c r="F239" s="405"/>
      <c r="G239" s="405"/>
      <c r="H239" s="405"/>
      <c r="I239" s="531">
        <f>Inputs!H22</f>
        <v>25475</v>
      </c>
      <c r="J239" s="532">
        <f>Inputs!I22</f>
        <v>7050</v>
      </c>
      <c r="K239" s="532">
        <f>Inputs!J22</f>
        <v>7275</v>
      </c>
      <c r="L239" s="532">
        <f>Inputs!K22</f>
        <v>7200</v>
      </c>
      <c r="M239" s="533">
        <f>Inputs!L22</f>
        <v>7687.5</v>
      </c>
      <c r="O239" s="430"/>
      <c r="P239" s="407"/>
    </row>
    <row r="240" spans="1:16" s="412" customFormat="1" ht="15" customHeight="1" outlineLevel="1">
      <c r="B240" s="534"/>
      <c r="C240" s="402"/>
      <c r="D240" s="404"/>
      <c r="E240" s="404"/>
      <c r="F240" s="405"/>
      <c r="G240" s="405"/>
      <c r="H240" s="405"/>
      <c r="I240" s="480"/>
      <c r="J240" s="480"/>
      <c r="K240" s="480"/>
      <c r="L240" s="480"/>
      <c r="M240" s="480"/>
      <c r="P240" s="407"/>
    </row>
    <row r="241" spans="2:16" s="412" customFormat="1" ht="15" customHeight="1" outlineLevel="1">
      <c r="B241" s="417"/>
      <c r="C241" s="402"/>
      <c r="D241" s="404"/>
      <c r="E241" s="404"/>
      <c r="F241" s="404"/>
      <c r="G241" s="404"/>
      <c r="H241" s="404"/>
      <c r="I241" s="421"/>
      <c r="J241" s="421"/>
      <c r="K241" s="421"/>
      <c r="L241" s="421"/>
      <c r="M241" s="421"/>
      <c r="P241" s="407"/>
    </row>
    <row r="242" spans="2:16" s="412" customFormat="1" ht="15" customHeight="1" outlineLevel="1">
      <c r="B242" s="535" t="s">
        <v>200</v>
      </c>
      <c r="D242" s="536"/>
      <c r="E242" s="404"/>
      <c r="F242" s="404"/>
      <c r="G242" s="404"/>
      <c r="H242" s="404"/>
      <c r="I242" s="537" t="s">
        <v>128</v>
      </c>
      <c r="J242" s="538"/>
      <c r="K242" s="538"/>
      <c r="L242" s="538"/>
      <c r="M242" s="539"/>
      <c r="P242" s="407"/>
    </row>
    <row r="243" spans="2:16" s="412" customFormat="1" ht="15" customHeight="1" outlineLevel="1">
      <c r="B243" s="540" t="s">
        <v>125</v>
      </c>
      <c r="C243" s="541" t="s">
        <v>20</v>
      </c>
      <c r="D243" s="542">
        <f>Inputs!$L$61</f>
        <v>16</v>
      </c>
      <c r="E243" s="404"/>
      <c r="F243" s="543"/>
      <c r="G243" s="404"/>
      <c r="H243" s="404"/>
      <c r="I243" s="544">
        <v>1</v>
      </c>
      <c r="J243" s="544">
        <f>I243+1</f>
        <v>2</v>
      </c>
      <c r="K243" s="544">
        <f>J243+1</f>
        <v>3</v>
      </c>
      <c r="L243" s="544">
        <f>K243+1</f>
        <v>4</v>
      </c>
      <c r="M243" s="544">
        <f>L243+1</f>
        <v>5</v>
      </c>
      <c r="P243" s="407"/>
    </row>
    <row r="244" spans="2:16" s="412" customFormat="1" ht="15" customHeight="1" outlineLevel="1">
      <c r="B244" s="545" t="s">
        <v>129</v>
      </c>
      <c r="C244" s="483" t="str">
        <f>CONCATENATE("(End of ",H236,")")</f>
        <v>(End of 2022)</v>
      </c>
      <c r="D244" s="546">
        <f>H86</f>
        <v>75407</v>
      </c>
      <c r="E244" s="404"/>
      <c r="F244" s="543"/>
      <c r="G244" s="404"/>
      <c r="H244" s="547"/>
      <c r="I244" s="548">
        <f>MIN($D243-SUM($H244:H244),1)</f>
        <v>1</v>
      </c>
      <c r="J244" s="548">
        <f>MIN($D243-SUM($H244:I244),1)</f>
        <v>1</v>
      </c>
      <c r="K244" s="548">
        <f>MIN($D243-SUM($H244:J244),1)</f>
        <v>1</v>
      </c>
      <c r="L244" s="548">
        <f>MIN($D243-SUM($H244:K244),1)</f>
        <v>1</v>
      </c>
      <c r="M244" s="549">
        <f>MIN($D243-SUM($H244:L244),1)</f>
        <v>1</v>
      </c>
      <c r="N244" s="397"/>
      <c r="O244" s="397"/>
      <c r="P244" s="397"/>
    </row>
    <row r="245" spans="2:16" s="412" customFormat="1" ht="15" customHeight="1" outlineLevel="1">
      <c r="B245" s="550"/>
      <c r="D245" s="551"/>
      <c r="E245" s="404"/>
      <c r="F245" s="404"/>
      <c r="G245" s="404"/>
      <c r="H245" s="404"/>
      <c r="I245" s="552"/>
      <c r="J245" s="552"/>
      <c r="K245" s="552"/>
      <c r="L245" s="552"/>
      <c r="M245" s="552"/>
      <c r="P245" s="464"/>
    </row>
    <row r="246" spans="2:16" s="412" customFormat="1" ht="15" customHeight="1" outlineLevel="1">
      <c r="B246" s="550"/>
      <c r="E246" s="404"/>
      <c r="F246" s="404"/>
      <c r="G246" s="404"/>
      <c r="H246" s="404"/>
      <c r="I246" s="552"/>
      <c r="J246" s="552"/>
      <c r="K246" s="552"/>
      <c r="L246" s="552"/>
      <c r="M246" s="552"/>
      <c r="P246" s="553"/>
    </row>
    <row r="247" spans="2:16" s="412" customFormat="1" ht="15" customHeight="1" outlineLevel="1">
      <c r="B247" s="417"/>
      <c r="D247" s="402"/>
      <c r="E247" s="404"/>
      <c r="F247" s="404"/>
      <c r="G247" s="404"/>
      <c r="H247" s="404"/>
      <c r="I247" s="537" t="s">
        <v>128</v>
      </c>
      <c r="J247" s="538"/>
      <c r="K247" s="538"/>
      <c r="L247" s="538"/>
      <c r="M247" s="539"/>
      <c r="N247" s="554"/>
      <c r="O247" s="554"/>
    </row>
    <row r="248" spans="2:16" s="412" customFormat="1" ht="15" customHeight="1" outlineLevel="1">
      <c r="B248" s="535" t="s">
        <v>201</v>
      </c>
      <c r="D248" s="536"/>
      <c r="F248" s="555" t="s">
        <v>122</v>
      </c>
      <c r="G248" s="555" t="s">
        <v>126</v>
      </c>
      <c r="H248" s="404"/>
      <c r="I248" s="556">
        <f>I$236</f>
        <v>2023</v>
      </c>
      <c r="J248" s="556">
        <f>J$236</f>
        <v>2024</v>
      </c>
      <c r="K248" s="556">
        <f>K$236</f>
        <v>2025</v>
      </c>
      <c r="L248" s="556">
        <f>L$236</f>
        <v>2026</v>
      </c>
      <c r="M248" s="556">
        <f>M$236</f>
        <v>2027</v>
      </c>
    </row>
    <row r="249" spans="2:16" s="412" customFormat="1" ht="15" customHeight="1" outlineLevel="1">
      <c r="B249" s="557" t="s">
        <v>125</v>
      </c>
      <c r="C249" s="558" t="s">
        <v>20</v>
      </c>
      <c r="D249" s="559">
        <f>Inputs!$L$62</f>
        <v>20</v>
      </c>
      <c r="F249" s="560">
        <f>I236</f>
        <v>2023</v>
      </c>
      <c r="G249" s="561">
        <f>$D$249</f>
        <v>20</v>
      </c>
      <c r="H249" s="562"/>
      <c r="I249" s="563">
        <f>IF(H249="",$D$250,MIN($D249-SUM($H249:H249),1))</f>
        <v>0.5</v>
      </c>
      <c r="J249" s="563">
        <f>IF(I249="",$D$250,MIN($D249-SUM($H249:I249),1))</f>
        <v>1</v>
      </c>
      <c r="K249" s="563">
        <f>IF(J249="",$D$250,MIN($D249-SUM($H249:J249),1))</f>
        <v>1</v>
      </c>
      <c r="L249" s="563">
        <f>IF(K249="",$D$250,MIN($D249-SUM($H249:K249),1))</f>
        <v>1</v>
      </c>
      <c r="M249" s="564">
        <f>IF(L249="",$D$250,MIN($D249-SUM($H249:L249),1))</f>
        <v>1</v>
      </c>
    </row>
    <row r="250" spans="2:16" s="412" customFormat="1" ht="15" customHeight="1" outlineLevel="1">
      <c r="B250" s="545" t="s">
        <v>124</v>
      </c>
      <c r="C250" s="565"/>
      <c r="D250" s="566">
        <f>Inputs!$L$60</f>
        <v>0.5</v>
      </c>
      <c r="F250" s="567">
        <f>F249+1</f>
        <v>2024</v>
      </c>
      <c r="G250" s="568">
        <f>$D$249</f>
        <v>20</v>
      </c>
      <c r="H250" s="569"/>
      <c r="I250" s="552">
        <f t="shared" ref="I250:M253" si="84">H249</f>
        <v>0</v>
      </c>
      <c r="J250" s="552">
        <f t="shared" si="84"/>
        <v>0.5</v>
      </c>
      <c r="K250" s="552">
        <f t="shared" si="84"/>
        <v>1</v>
      </c>
      <c r="L250" s="552">
        <f t="shared" si="84"/>
        <v>1</v>
      </c>
      <c r="M250" s="570">
        <f t="shared" si="84"/>
        <v>1</v>
      </c>
      <c r="P250" s="416"/>
    </row>
    <row r="251" spans="2:16" s="412" customFormat="1" ht="15" customHeight="1" outlineLevel="1">
      <c r="B251" s="417"/>
      <c r="D251" s="555"/>
      <c r="F251" s="567">
        <f>F250+1</f>
        <v>2025</v>
      </c>
      <c r="G251" s="568">
        <f>$D$249</f>
        <v>20</v>
      </c>
      <c r="H251" s="569"/>
      <c r="I251" s="552">
        <f t="shared" si="84"/>
        <v>0</v>
      </c>
      <c r="J251" s="552">
        <f t="shared" si="84"/>
        <v>0</v>
      </c>
      <c r="K251" s="552">
        <f t="shared" si="84"/>
        <v>0.5</v>
      </c>
      <c r="L251" s="552">
        <f t="shared" si="84"/>
        <v>1</v>
      </c>
      <c r="M251" s="570">
        <f t="shared" si="84"/>
        <v>1</v>
      </c>
    </row>
    <row r="252" spans="2:16" s="412" customFormat="1" ht="15" customHeight="1" outlineLevel="1">
      <c r="B252" s="417"/>
      <c r="D252" s="555"/>
      <c r="F252" s="567">
        <f>F251+1</f>
        <v>2026</v>
      </c>
      <c r="G252" s="568">
        <f>$D$249</f>
        <v>20</v>
      </c>
      <c r="H252" s="569"/>
      <c r="I252" s="552">
        <f t="shared" si="84"/>
        <v>0</v>
      </c>
      <c r="J252" s="552">
        <f t="shared" si="84"/>
        <v>0</v>
      </c>
      <c r="K252" s="552">
        <f t="shared" si="84"/>
        <v>0</v>
      </c>
      <c r="L252" s="552">
        <f t="shared" si="84"/>
        <v>0.5</v>
      </c>
      <c r="M252" s="570">
        <f t="shared" si="84"/>
        <v>1</v>
      </c>
    </row>
    <row r="253" spans="2:16" s="412" customFormat="1" ht="15" customHeight="1" outlineLevel="1">
      <c r="B253" s="417"/>
      <c r="D253" s="555"/>
      <c r="F253" s="571">
        <f>F252+1</f>
        <v>2027</v>
      </c>
      <c r="G253" s="572">
        <f>$D$249</f>
        <v>20</v>
      </c>
      <c r="H253" s="573"/>
      <c r="I253" s="574">
        <f t="shared" si="84"/>
        <v>0</v>
      </c>
      <c r="J253" s="574">
        <f t="shared" si="84"/>
        <v>0</v>
      </c>
      <c r="K253" s="574">
        <f t="shared" si="84"/>
        <v>0</v>
      </c>
      <c r="L253" s="574">
        <f t="shared" si="84"/>
        <v>0</v>
      </c>
      <c r="M253" s="566">
        <f t="shared" si="84"/>
        <v>0.5</v>
      </c>
    </row>
    <row r="254" spans="2:16" s="412" customFormat="1" ht="15" customHeight="1" outlineLevel="1">
      <c r="B254" s="417"/>
      <c r="C254" s="402"/>
      <c r="D254" s="555"/>
      <c r="E254" s="404"/>
      <c r="F254" s="404"/>
      <c r="G254" s="404"/>
      <c r="H254" s="404"/>
      <c r="I254" s="421"/>
      <c r="J254" s="421"/>
      <c r="K254" s="421"/>
      <c r="L254" s="421"/>
      <c r="M254" s="421"/>
      <c r="N254" s="464"/>
      <c r="O254" s="464"/>
    </row>
    <row r="255" spans="2:16" s="412" customFormat="1" ht="15" customHeight="1" outlineLevel="1">
      <c r="B255" s="417"/>
      <c r="C255" s="402"/>
      <c r="D255" s="555"/>
      <c r="E255" s="404"/>
      <c r="F255" s="404"/>
      <c r="G255" s="404"/>
      <c r="H255" s="404"/>
      <c r="I255" s="421"/>
      <c r="J255" s="421"/>
      <c r="K255" s="421"/>
      <c r="L255" s="421"/>
      <c r="M255" s="421"/>
      <c r="N255" s="464"/>
      <c r="O255" s="464"/>
    </row>
    <row r="256" spans="2:16" s="412" customFormat="1" ht="15" customHeight="1" outlineLevel="1">
      <c r="B256" s="417"/>
      <c r="C256" s="402"/>
      <c r="D256" s="404"/>
      <c r="E256" s="404"/>
      <c r="F256" s="404"/>
      <c r="G256" s="404"/>
      <c r="H256" s="404"/>
      <c r="I256" s="537" t="s">
        <v>123</v>
      </c>
      <c r="J256" s="538"/>
      <c r="K256" s="538"/>
      <c r="L256" s="538"/>
      <c r="M256" s="539"/>
      <c r="N256" s="464"/>
      <c r="O256" s="464"/>
    </row>
    <row r="257" spans="2:16" s="412" customFormat="1" ht="15" customHeight="1" outlineLevel="1">
      <c r="E257" s="404"/>
      <c r="F257" s="555" t="s">
        <v>122</v>
      </c>
      <c r="G257" s="555" t="s">
        <v>121</v>
      </c>
      <c r="H257" s="555" t="s">
        <v>120</v>
      </c>
      <c r="I257" s="556">
        <f>I$236</f>
        <v>2023</v>
      </c>
      <c r="J257" s="556">
        <f>J$236</f>
        <v>2024</v>
      </c>
      <c r="K257" s="556">
        <f>K$236</f>
        <v>2025</v>
      </c>
      <c r="L257" s="556">
        <f>L$236</f>
        <v>2026</v>
      </c>
      <c r="M257" s="556">
        <f>M$236</f>
        <v>2027</v>
      </c>
      <c r="N257" s="464"/>
      <c r="O257" s="464"/>
    </row>
    <row r="258" spans="2:16" s="412" customFormat="1" ht="15" customHeight="1" outlineLevel="1">
      <c r="B258" s="417"/>
      <c r="E258" s="404"/>
      <c r="F258" s="560">
        <f>F249</f>
        <v>2023</v>
      </c>
      <c r="G258" s="575">
        <f>SUMIF($I$236:$M$236,F258,$I$239:$M$239)</f>
        <v>25475</v>
      </c>
      <c r="H258" s="576">
        <f>G258/G249</f>
        <v>1273.75</v>
      </c>
      <c r="I258" s="577">
        <f t="shared" ref="I258:M262" si="85">$H258*I249</f>
        <v>636.875</v>
      </c>
      <c r="J258" s="577">
        <f t="shared" si="85"/>
        <v>1273.75</v>
      </c>
      <c r="K258" s="577">
        <f t="shared" si="85"/>
        <v>1273.75</v>
      </c>
      <c r="L258" s="577">
        <f t="shared" si="85"/>
        <v>1273.75</v>
      </c>
      <c r="M258" s="578">
        <f t="shared" si="85"/>
        <v>1273.75</v>
      </c>
    </row>
    <row r="259" spans="2:16" s="412" customFormat="1" ht="15" customHeight="1" outlineLevel="1">
      <c r="B259" s="417"/>
      <c r="E259" s="404"/>
      <c r="F259" s="567">
        <f>F250</f>
        <v>2024</v>
      </c>
      <c r="G259" s="579">
        <f>SUMIF($I$236:$M$236,F259,$I$239:$M$239)</f>
        <v>7050</v>
      </c>
      <c r="H259" s="580">
        <f>G259/G250</f>
        <v>352.5</v>
      </c>
      <c r="I259" s="581">
        <f t="shared" si="85"/>
        <v>0</v>
      </c>
      <c r="J259" s="581">
        <f t="shared" si="85"/>
        <v>176.25</v>
      </c>
      <c r="K259" s="581">
        <f t="shared" si="85"/>
        <v>352.5</v>
      </c>
      <c r="L259" s="581">
        <f t="shared" si="85"/>
        <v>352.5</v>
      </c>
      <c r="M259" s="582">
        <f t="shared" si="85"/>
        <v>352.5</v>
      </c>
    </row>
    <row r="260" spans="2:16" s="412" customFormat="1" ht="15" customHeight="1" outlineLevel="1">
      <c r="B260" s="417"/>
      <c r="E260" s="404"/>
      <c r="F260" s="567">
        <f>F251</f>
        <v>2025</v>
      </c>
      <c r="G260" s="579">
        <f>SUMIF($I$236:$M$236,F260,$I$239:$M$239)</f>
        <v>7275</v>
      </c>
      <c r="H260" s="580">
        <f>G260/G251</f>
        <v>363.75</v>
      </c>
      <c r="I260" s="581">
        <f t="shared" si="85"/>
        <v>0</v>
      </c>
      <c r="J260" s="581">
        <f t="shared" si="85"/>
        <v>0</v>
      </c>
      <c r="K260" s="581">
        <f t="shared" si="85"/>
        <v>181.875</v>
      </c>
      <c r="L260" s="581">
        <f t="shared" si="85"/>
        <v>363.75</v>
      </c>
      <c r="M260" s="582">
        <f t="shared" si="85"/>
        <v>363.75</v>
      </c>
      <c r="P260" s="464"/>
    </row>
    <row r="261" spans="2:16" s="412" customFormat="1" ht="15" customHeight="1" outlineLevel="1">
      <c r="B261" s="417"/>
      <c r="E261" s="404"/>
      <c r="F261" s="567">
        <f>F252</f>
        <v>2026</v>
      </c>
      <c r="G261" s="579">
        <f>SUMIF($I$236:$M$236,F261,$I$239:$M$239)</f>
        <v>7200</v>
      </c>
      <c r="H261" s="580">
        <f>G261/G252</f>
        <v>360</v>
      </c>
      <c r="I261" s="581">
        <f t="shared" si="85"/>
        <v>0</v>
      </c>
      <c r="J261" s="581">
        <f t="shared" si="85"/>
        <v>0</v>
      </c>
      <c r="K261" s="581">
        <f t="shared" si="85"/>
        <v>0</v>
      </c>
      <c r="L261" s="581">
        <f t="shared" si="85"/>
        <v>180</v>
      </c>
      <c r="M261" s="582">
        <f t="shared" si="85"/>
        <v>360</v>
      </c>
      <c r="P261" s="464"/>
    </row>
    <row r="262" spans="2:16" s="412" customFormat="1" ht="15" customHeight="1" outlineLevel="1">
      <c r="B262" s="417"/>
      <c r="E262" s="404"/>
      <c r="F262" s="571">
        <f>F253</f>
        <v>2027</v>
      </c>
      <c r="G262" s="583">
        <f>SUMIF($I$236:$M$236,F262,$I$239:$M$239)</f>
        <v>7687.5</v>
      </c>
      <c r="H262" s="584">
        <f>G262/G253</f>
        <v>384.375</v>
      </c>
      <c r="I262" s="585">
        <f t="shared" si="85"/>
        <v>0</v>
      </c>
      <c r="J262" s="585">
        <f t="shared" si="85"/>
        <v>0</v>
      </c>
      <c r="K262" s="585">
        <f t="shared" si="85"/>
        <v>0</v>
      </c>
      <c r="L262" s="585">
        <f t="shared" si="85"/>
        <v>0</v>
      </c>
      <c r="M262" s="586">
        <f t="shared" si="85"/>
        <v>192.1875</v>
      </c>
      <c r="P262" s="464"/>
    </row>
    <row r="263" spans="2:16" s="412" customFormat="1" ht="15" customHeight="1" outlineLevel="1">
      <c r="B263" s="417"/>
      <c r="E263" s="404"/>
      <c r="F263" s="587"/>
      <c r="G263" s="579"/>
      <c r="H263" s="579"/>
      <c r="I263" s="581"/>
      <c r="J263" s="581"/>
      <c r="K263" s="581"/>
      <c r="L263" s="581"/>
      <c r="M263" s="581"/>
      <c r="P263" s="464"/>
    </row>
    <row r="264" spans="2:16" s="412" customFormat="1" ht="15" customHeight="1" outlineLevel="1">
      <c r="B264" s="588"/>
      <c r="C264" s="482"/>
      <c r="D264" s="484"/>
      <c r="E264" s="484"/>
      <c r="F264" s="484"/>
      <c r="G264" s="484"/>
      <c r="H264" s="484"/>
      <c r="I264" s="589"/>
      <c r="J264" s="589"/>
      <c r="K264" s="589"/>
      <c r="L264" s="589"/>
      <c r="M264" s="589"/>
      <c r="N264" s="464"/>
      <c r="O264" s="464"/>
    </row>
    <row r="265" spans="2:16" s="412" customFormat="1" ht="15" customHeight="1" outlineLevel="1">
      <c r="B265" s="417"/>
      <c r="C265" s="402"/>
      <c r="D265" s="404"/>
      <c r="E265" s="404"/>
      <c r="F265" s="404"/>
      <c r="G265" s="404"/>
      <c r="H265" s="404"/>
      <c r="I265" s="421"/>
      <c r="J265" s="421"/>
      <c r="K265" s="421"/>
      <c r="L265" s="421"/>
      <c r="M265" s="421"/>
      <c r="N265" s="464"/>
      <c r="O265" s="464"/>
    </row>
    <row r="266" spans="2:16" s="412" customFormat="1" ht="15" customHeight="1" outlineLevel="1">
      <c r="B266" s="417"/>
      <c r="C266" s="402"/>
      <c r="D266" s="404"/>
      <c r="E266" s="404"/>
      <c r="F266" s="404"/>
      <c r="G266" s="404"/>
      <c r="H266" s="404"/>
      <c r="I266" s="421"/>
      <c r="J266" s="421"/>
      <c r="K266" s="421"/>
      <c r="L266" s="421"/>
      <c r="M266" s="421"/>
      <c r="N266" s="464"/>
      <c r="O266" s="464"/>
    </row>
    <row r="267" spans="2:16" s="412" customFormat="1" ht="15" customHeight="1" outlineLevel="1">
      <c r="B267" s="535" t="s">
        <v>202</v>
      </c>
      <c r="C267" s="402"/>
      <c r="D267" s="404"/>
      <c r="E267" s="404"/>
      <c r="F267" s="404"/>
      <c r="G267" s="404"/>
      <c r="H267" s="404"/>
      <c r="I267" s="421"/>
      <c r="J267" s="421"/>
      <c r="K267" s="421"/>
      <c r="L267" s="421"/>
      <c r="M267" s="421"/>
      <c r="N267" s="464"/>
      <c r="O267" s="464"/>
      <c r="P267" s="397"/>
    </row>
    <row r="268" spans="2:16" s="412" customFormat="1" ht="15" customHeight="1" outlineLevel="1">
      <c r="B268" s="453" t="s">
        <v>118</v>
      </c>
      <c r="C268" s="402"/>
      <c r="D268" s="404"/>
      <c r="E268" s="404"/>
      <c r="F268" s="449"/>
      <c r="G268" s="449"/>
      <c r="H268" s="449"/>
      <c r="I268" s="480">
        <f>($D$244/$D$243)*I244</f>
        <v>4712.9375</v>
      </c>
      <c r="J268" s="480">
        <f>($D$244/$D$243)*J244</f>
        <v>4712.9375</v>
      </c>
      <c r="K268" s="480">
        <f>($D$244/$D$243)*K244</f>
        <v>4712.9375</v>
      </c>
      <c r="L268" s="480">
        <f>($D$244/$D$243)*L244</f>
        <v>4712.9375</v>
      </c>
      <c r="M268" s="480">
        <f>($D$244/$D$243)*M244</f>
        <v>4712.9375</v>
      </c>
      <c r="N268" s="407"/>
      <c r="O268" s="407"/>
    </row>
    <row r="269" spans="2:16" s="412" customFormat="1" ht="15" customHeight="1" outlineLevel="1">
      <c r="B269" s="453" t="s">
        <v>117</v>
      </c>
      <c r="C269" s="402"/>
      <c r="D269" s="404"/>
      <c r="E269" s="404"/>
      <c r="F269" s="404"/>
      <c r="G269" s="404"/>
      <c r="H269" s="404"/>
      <c r="I269" s="480">
        <f>SUM(I258:I262)</f>
        <v>636.875</v>
      </c>
      <c r="J269" s="480">
        <f>SUM(J258:J262)</f>
        <v>1450</v>
      </c>
      <c r="K269" s="480">
        <f>SUM(K258:K262)</f>
        <v>1808.125</v>
      </c>
      <c r="L269" s="480">
        <f>SUM(L258:L262)</f>
        <v>2170</v>
      </c>
      <c r="M269" s="480">
        <f>SUM(M258:M262)</f>
        <v>2542.1875</v>
      </c>
      <c r="N269" s="407"/>
      <c r="O269" s="407"/>
    </row>
    <row r="270" spans="2:16" s="412" customFormat="1" ht="15" customHeight="1" outlineLevel="1" thickBot="1">
      <c r="B270" s="453" t="s">
        <v>116</v>
      </c>
      <c r="C270" s="402"/>
      <c r="D270" s="404"/>
      <c r="E270" s="404"/>
      <c r="F270" s="404"/>
      <c r="G270" s="404"/>
      <c r="H270" s="404"/>
      <c r="I270" s="513">
        <f>SUM(I268:I269)</f>
        <v>5349.8125</v>
      </c>
      <c r="J270" s="513">
        <f>SUM(J268:J269)</f>
        <v>6162.9375</v>
      </c>
      <c r="K270" s="513">
        <f>SUM(K268:K269)</f>
        <v>6521.0625</v>
      </c>
      <c r="L270" s="513">
        <f>SUM(L268:L269)</f>
        <v>6882.9375</v>
      </c>
      <c r="M270" s="513">
        <f>SUM(M268:M269)</f>
        <v>7255.125</v>
      </c>
      <c r="N270" s="464"/>
      <c r="O270" s="464"/>
    </row>
    <row r="271" spans="2:16" s="412" customFormat="1" ht="15" customHeight="1" outlineLevel="1">
      <c r="B271" s="417"/>
      <c r="C271" s="402"/>
      <c r="D271" s="404"/>
      <c r="E271" s="404"/>
      <c r="F271" s="404"/>
      <c r="G271" s="404"/>
      <c r="H271" s="404"/>
      <c r="I271" s="449"/>
      <c r="J271" s="449"/>
      <c r="K271" s="449"/>
      <c r="L271" s="449"/>
      <c r="M271" s="449"/>
      <c r="N271" s="464"/>
      <c r="O271" s="464"/>
    </row>
    <row r="272" spans="2:16" s="412" customFormat="1" ht="15" customHeight="1" outlineLevel="1">
      <c r="B272" s="417"/>
      <c r="C272" s="402"/>
      <c r="D272" s="404"/>
      <c r="E272" s="404"/>
      <c r="F272" s="404"/>
      <c r="G272" s="404"/>
      <c r="H272" s="404"/>
      <c r="I272" s="449"/>
      <c r="J272" s="449"/>
      <c r="K272" s="449"/>
      <c r="L272" s="449"/>
      <c r="M272" s="449"/>
      <c r="N272" s="464"/>
      <c r="O272" s="464"/>
    </row>
    <row r="273" spans="1:16" s="412" customFormat="1" ht="15" customHeight="1" outlineLevel="1">
      <c r="C273" s="402"/>
      <c r="D273" s="404"/>
      <c r="E273" s="404"/>
      <c r="F273" s="404"/>
      <c r="G273" s="404"/>
      <c r="H273" s="404"/>
      <c r="I273" s="421"/>
      <c r="J273" s="421"/>
      <c r="K273" s="421"/>
      <c r="L273" s="421"/>
      <c r="M273" s="527" t="s">
        <v>115</v>
      </c>
      <c r="N273" s="407"/>
      <c r="O273" s="407"/>
      <c r="P273" s="474"/>
    </row>
    <row r="274" spans="1:16" s="412" customFormat="1" ht="15" customHeight="1" outlineLevel="1">
      <c r="C274" s="402"/>
      <c r="D274" s="404"/>
      <c r="E274" s="404"/>
      <c r="F274" s="404"/>
      <c r="G274" s="404"/>
      <c r="H274" s="404"/>
      <c r="I274" s="421"/>
      <c r="J274" s="421"/>
      <c r="K274" s="421"/>
      <c r="L274" s="421"/>
      <c r="M274" s="590" t="s">
        <v>114</v>
      </c>
      <c r="N274" s="407"/>
      <c r="O274" s="407"/>
      <c r="P274" s="474"/>
    </row>
    <row r="275" spans="1:16" s="412" customFormat="1" ht="15" customHeight="1" outlineLevel="1">
      <c r="C275" s="402"/>
      <c r="D275" s="404"/>
      <c r="E275" s="404"/>
      <c r="F275" s="404"/>
      <c r="G275" s="404"/>
      <c r="H275" s="404"/>
      <c r="I275" s="421"/>
      <c r="J275" s="421"/>
      <c r="K275" s="421"/>
      <c r="L275" s="421"/>
      <c r="M275" s="527"/>
      <c r="N275" s="407"/>
      <c r="O275" s="407"/>
      <c r="P275" s="474"/>
    </row>
    <row r="276" spans="1:16" s="412" customFormat="1" ht="15" customHeight="1" outlineLevel="1">
      <c r="B276" s="588"/>
      <c r="C276" s="482"/>
      <c r="D276" s="484"/>
      <c r="E276" s="484"/>
      <c r="F276" s="484"/>
      <c r="G276" s="484"/>
      <c r="H276" s="484"/>
      <c r="I276" s="589"/>
      <c r="J276" s="589"/>
      <c r="K276" s="589"/>
      <c r="L276" s="589"/>
      <c r="M276" s="589"/>
      <c r="N276" s="464"/>
      <c r="O276" s="464"/>
    </row>
    <row r="277" spans="1:16" s="412" customFormat="1" ht="15" customHeight="1">
      <c r="B277" s="417"/>
      <c r="C277" s="402"/>
      <c r="D277" s="404"/>
      <c r="E277" s="404"/>
      <c r="F277" s="404"/>
      <c r="G277" s="404"/>
      <c r="H277" s="404"/>
      <c r="I277" s="421"/>
      <c r="J277" s="421"/>
      <c r="K277" s="421"/>
      <c r="L277" s="421"/>
      <c r="M277" s="421"/>
      <c r="N277" s="464"/>
      <c r="O277" s="464"/>
    </row>
    <row r="278" spans="1:16" s="412" customFormat="1" ht="15" customHeight="1">
      <c r="A278" s="412" t="s">
        <v>0</v>
      </c>
      <c r="B278" s="408" t="s">
        <v>113</v>
      </c>
      <c r="C278" s="409"/>
      <c r="D278" s="516"/>
      <c r="E278" s="516"/>
      <c r="F278" s="411"/>
      <c r="G278" s="411"/>
      <c r="H278" s="411"/>
      <c r="I278" s="517"/>
      <c r="J278" s="518"/>
      <c r="K278" s="518"/>
      <c r="L278" s="518"/>
      <c r="M278" s="518"/>
      <c r="N278" s="464"/>
      <c r="O278" s="464"/>
      <c r="P278" s="464"/>
    </row>
    <row r="279" spans="1:16" s="412" customFormat="1" ht="15" customHeight="1" outlineLevel="1">
      <c r="B279" s="413"/>
      <c r="C279" s="402"/>
      <c r="D279" s="414"/>
      <c r="E279" s="414"/>
      <c r="F279" s="415"/>
      <c r="G279" s="415"/>
      <c r="H279" s="415"/>
      <c r="I279" s="415"/>
      <c r="J279" s="415"/>
      <c r="K279" s="415"/>
      <c r="L279" s="415"/>
      <c r="M279" s="415"/>
      <c r="N279" s="464"/>
      <c r="O279" s="464"/>
      <c r="P279" s="474"/>
    </row>
    <row r="280" spans="1:16" s="412" customFormat="1" ht="15" customHeight="1" outlineLevel="1" thickBot="1">
      <c r="B280" s="417" t="s">
        <v>15</v>
      </c>
      <c r="C280" s="402"/>
      <c r="D280" s="404"/>
      <c r="E280" s="404"/>
      <c r="F280" s="415"/>
      <c r="G280" s="404"/>
      <c r="H280" s="418">
        <f t="shared" ref="H280:M280" si="86">H$4</f>
        <v>2022</v>
      </c>
      <c r="I280" s="419">
        <f t="shared" si="86"/>
        <v>2023</v>
      </c>
      <c r="J280" s="419">
        <f t="shared" si="86"/>
        <v>2024</v>
      </c>
      <c r="K280" s="419">
        <f t="shared" si="86"/>
        <v>2025</v>
      </c>
      <c r="L280" s="419">
        <f t="shared" si="86"/>
        <v>2026</v>
      </c>
      <c r="M280" s="419">
        <f t="shared" si="86"/>
        <v>2027</v>
      </c>
      <c r="N280" s="407"/>
      <c r="O280" s="407"/>
      <c r="P280" s="474"/>
    </row>
    <row r="281" spans="1:16" ht="15" customHeight="1" outlineLevel="1">
      <c r="A281" s="385"/>
      <c r="B281" s="417" t="str">
        <f>B$5</f>
        <v>Model Running: Base Case Drivers</v>
      </c>
      <c r="C281" s="402"/>
      <c r="D281" s="404"/>
      <c r="E281" s="404"/>
      <c r="F281" s="404"/>
      <c r="G281" s="404"/>
      <c r="H281" s="404"/>
      <c r="I281" s="421"/>
      <c r="J281" s="421"/>
      <c r="K281" s="421"/>
      <c r="L281" s="421"/>
      <c r="M281" s="421"/>
      <c r="P281" s="407"/>
    </row>
    <row r="282" spans="1:16" s="412" customFormat="1" ht="15" customHeight="1" outlineLevel="1">
      <c r="B282" s="417"/>
      <c r="C282" s="402"/>
      <c r="D282" s="404"/>
      <c r="E282" s="404"/>
      <c r="F282" s="404"/>
      <c r="G282" s="404"/>
      <c r="H282" s="404"/>
      <c r="I282" s="421"/>
      <c r="J282" s="421"/>
      <c r="K282" s="421"/>
      <c r="L282" s="421"/>
      <c r="M282" s="421"/>
      <c r="N282" s="464"/>
      <c r="O282" s="464"/>
      <c r="P282" s="407"/>
    </row>
    <row r="283" spans="1:16" s="412" customFormat="1" ht="15" customHeight="1" outlineLevel="1">
      <c r="B283" s="550" t="s">
        <v>54</v>
      </c>
      <c r="C283" s="402"/>
      <c r="D283" s="404"/>
      <c r="E283" s="404"/>
      <c r="F283" s="404"/>
      <c r="G283" s="480"/>
      <c r="H283" s="480"/>
      <c r="I283" s="591">
        <f>I239</f>
        <v>25475</v>
      </c>
      <c r="J283" s="592">
        <f>J239</f>
        <v>7050</v>
      </c>
      <c r="K283" s="592">
        <f>K239</f>
        <v>7275</v>
      </c>
      <c r="L283" s="592">
        <f>L239</f>
        <v>7200</v>
      </c>
      <c r="M283" s="593">
        <f>M239</f>
        <v>7687.5</v>
      </c>
      <c r="P283" s="397"/>
    </row>
    <row r="284" spans="1:16" s="412" customFormat="1" ht="15" customHeight="1" outlineLevel="1">
      <c r="B284" s="417"/>
      <c r="C284" s="402"/>
      <c r="D284" s="404"/>
      <c r="E284" s="404"/>
      <c r="F284" s="404"/>
      <c r="G284" s="404"/>
      <c r="H284" s="404"/>
      <c r="I284" s="421"/>
      <c r="J284" s="421"/>
      <c r="K284" s="421"/>
      <c r="L284" s="421"/>
      <c r="M284" s="421"/>
      <c r="P284" s="464"/>
    </row>
    <row r="285" spans="1:16" s="412" customFormat="1" ht="15" customHeight="1" outlineLevel="1">
      <c r="B285" s="557" t="s">
        <v>36</v>
      </c>
      <c r="C285" s="594"/>
      <c r="D285" s="595">
        <f>Inputs!$L$51</f>
        <v>0.5</v>
      </c>
      <c r="E285" s="404"/>
      <c r="F285" s="404"/>
      <c r="G285" s="404"/>
      <c r="H285" s="404"/>
      <c r="I285" s="421"/>
      <c r="J285" s="421"/>
      <c r="K285" s="421"/>
      <c r="L285" s="421"/>
      <c r="M285" s="421"/>
      <c r="P285" s="464"/>
    </row>
    <row r="286" spans="1:16" s="412" customFormat="1" ht="15" customHeight="1" outlineLevel="1">
      <c r="B286" s="596" t="s">
        <v>35</v>
      </c>
      <c r="C286" s="597"/>
      <c r="D286" s="598">
        <f>Inputs!$L$52</f>
        <v>0.15</v>
      </c>
      <c r="E286" s="404"/>
      <c r="F286" s="404"/>
      <c r="G286" s="404"/>
      <c r="H286" s="404"/>
      <c r="J286" s="421"/>
      <c r="K286" s="421"/>
      <c r="L286" s="421"/>
      <c r="M286" s="421"/>
      <c r="P286" s="464"/>
    </row>
    <row r="287" spans="1:16" s="412" customFormat="1" ht="15" customHeight="1" outlineLevel="1">
      <c r="B287" s="401"/>
      <c r="C287" s="599"/>
      <c r="D287" s="600"/>
      <c r="E287" s="404"/>
      <c r="F287" s="404"/>
      <c r="G287" s="404"/>
      <c r="H287" s="404"/>
      <c r="I287" s="601"/>
      <c r="J287" s="601"/>
      <c r="K287" s="601"/>
      <c r="L287" s="601"/>
      <c r="M287" s="601"/>
      <c r="P287" s="474"/>
    </row>
    <row r="288" spans="1:16" s="412" customFormat="1" ht="15" customHeight="1" outlineLevel="1">
      <c r="B288" s="401"/>
      <c r="C288" s="599"/>
      <c r="D288" s="600"/>
      <c r="E288" s="404"/>
      <c r="F288" s="404"/>
      <c r="G288" s="404"/>
      <c r="H288" s="404"/>
      <c r="I288" s="601"/>
      <c r="J288" s="601"/>
      <c r="K288" s="601"/>
      <c r="L288" s="601"/>
      <c r="M288" s="601"/>
      <c r="P288" s="421"/>
    </row>
    <row r="289" spans="2:16" s="412" customFormat="1" ht="15" customHeight="1" outlineLevel="1">
      <c r="B289" s="535" t="s">
        <v>203</v>
      </c>
      <c r="C289" s="402"/>
      <c r="D289" s="404"/>
      <c r="E289" s="404"/>
      <c r="F289" s="404"/>
      <c r="G289" s="404"/>
      <c r="H289" s="404"/>
      <c r="I289" s="421"/>
      <c r="J289" s="421"/>
      <c r="K289" s="421"/>
      <c r="L289" s="421"/>
      <c r="M289" s="421"/>
      <c r="P289" s="421"/>
    </row>
    <row r="290" spans="2:16" s="412" customFormat="1" ht="15" customHeight="1" outlineLevel="1">
      <c r="B290" s="453" t="s">
        <v>95</v>
      </c>
      <c r="C290" s="402"/>
      <c r="D290" s="404"/>
      <c r="E290" s="404"/>
      <c r="F290" s="404"/>
      <c r="G290" s="449"/>
      <c r="H290" s="480"/>
      <c r="I290" s="480">
        <f>H293</f>
        <v>75407</v>
      </c>
      <c r="J290" s="480">
        <f>I293</f>
        <v>95532.1875</v>
      </c>
      <c r="K290" s="480">
        <f>J293</f>
        <v>96419.25</v>
      </c>
      <c r="L290" s="480">
        <f>K293</f>
        <v>97173.1875</v>
      </c>
      <c r="M290" s="480">
        <f>L293</f>
        <v>97490.25</v>
      </c>
    </row>
    <row r="291" spans="2:16" s="412" customFormat="1" ht="15" customHeight="1" outlineLevel="1">
      <c r="B291" s="453" t="s">
        <v>54</v>
      </c>
      <c r="C291" s="402"/>
      <c r="D291" s="404"/>
      <c r="E291" s="404"/>
      <c r="F291" s="404"/>
      <c r="G291" s="449"/>
      <c r="H291" s="602"/>
      <c r="I291" s="480">
        <f>I283</f>
        <v>25475</v>
      </c>
      <c r="J291" s="480">
        <f>J283</f>
        <v>7050</v>
      </c>
      <c r="K291" s="480">
        <f>K283</f>
        <v>7275</v>
      </c>
      <c r="L291" s="480">
        <f>L283</f>
        <v>7200</v>
      </c>
      <c r="M291" s="480">
        <f>M283</f>
        <v>7687.5</v>
      </c>
    </row>
    <row r="292" spans="2:16" s="412" customFormat="1" ht="15" customHeight="1" outlineLevel="1">
      <c r="B292" s="453" t="s">
        <v>111</v>
      </c>
      <c r="C292" s="402"/>
      <c r="D292" s="404"/>
      <c r="E292" s="404"/>
      <c r="F292" s="404"/>
      <c r="G292" s="449"/>
      <c r="H292" s="485"/>
      <c r="I292" s="485">
        <f>-I270</f>
        <v>-5349.8125</v>
      </c>
      <c r="J292" s="485">
        <f>-J270</f>
        <v>-6162.9375</v>
      </c>
      <c r="K292" s="485">
        <f>-K270</f>
        <v>-6521.0625</v>
      </c>
      <c r="L292" s="485">
        <f>-L270</f>
        <v>-6882.9375</v>
      </c>
      <c r="M292" s="485">
        <f>-M270</f>
        <v>-7255.125</v>
      </c>
    </row>
    <row r="293" spans="2:16" s="412" customFormat="1" ht="15" customHeight="1" outlineLevel="1">
      <c r="B293" s="453" t="s">
        <v>92</v>
      </c>
      <c r="C293" s="402"/>
      <c r="D293" s="404"/>
      <c r="E293" s="404"/>
      <c r="F293" s="603"/>
      <c r="G293" s="449"/>
      <c r="H293" s="406">
        <f>H86</f>
        <v>75407</v>
      </c>
      <c r="I293" s="480">
        <f>SUM(I290:I292)</f>
        <v>95532.1875</v>
      </c>
      <c r="J293" s="480">
        <f>SUM(J290:J292)</f>
        <v>96419.25</v>
      </c>
      <c r="K293" s="480">
        <f>SUM(K290:K292)</f>
        <v>97173.1875</v>
      </c>
      <c r="L293" s="480">
        <f>SUM(L290:L292)</f>
        <v>97490.25</v>
      </c>
      <c r="M293" s="480">
        <f>SUM(M290:M292)</f>
        <v>97922.625</v>
      </c>
      <c r="P293" s="386"/>
    </row>
    <row r="294" spans="2:16" s="412" customFormat="1" ht="15" customHeight="1" outlineLevel="1">
      <c r="B294" s="417"/>
      <c r="C294" s="402"/>
      <c r="D294" s="404"/>
      <c r="E294" s="404"/>
      <c r="F294" s="404"/>
      <c r="G294" s="404"/>
      <c r="H294" s="438"/>
      <c r="I294" s="438"/>
      <c r="J294" s="438"/>
      <c r="K294" s="438"/>
      <c r="L294" s="438"/>
      <c r="M294" s="438"/>
      <c r="N294" s="421"/>
      <c r="O294" s="421"/>
      <c r="P294" s="386"/>
    </row>
    <row r="295" spans="2:16" s="412" customFormat="1" ht="15" customHeight="1" outlineLevel="1">
      <c r="B295" s="417"/>
      <c r="C295" s="402"/>
      <c r="D295" s="404"/>
      <c r="E295" s="404"/>
      <c r="F295" s="404"/>
      <c r="G295" s="404"/>
      <c r="H295" s="438"/>
      <c r="I295" s="438"/>
      <c r="J295" s="438"/>
      <c r="K295" s="438"/>
      <c r="L295" s="438"/>
      <c r="M295" s="438"/>
      <c r="N295" s="421"/>
      <c r="O295" s="421"/>
      <c r="P295" s="386"/>
    </row>
    <row r="296" spans="2:16" s="412" customFormat="1" ht="15" customHeight="1" outlineLevel="1">
      <c r="B296" s="535" t="s">
        <v>204</v>
      </c>
      <c r="C296" s="402"/>
      <c r="D296" s="404"/>
      <c r="E296" s="404"/>
      <c r="F296" s="404"/>
      <c r="G296" s="404"/>
      <c r="H296" s="438"/>
      <c r="I296" s="438"/>
      <c r="J296" s="438"/>
      <c r="K296" s="438"/>
      <c r="L296" s="438"/>
      <c r="M296" s="438"/>
      <c r="N296" s="421"/>
      <c r="O296" s="421"/>
      <c r="P296" s="394"/>
    </row>
    <row r="297" spans="2:16" s="412" customFormat="1" ht="15" customHeight="1" outlineLevel="1">
      <c r="B297" s="453" t="s">
        <v>95</v>
      </c>
      <c r="C297" s="402"/>
      <c r="D297" s="404"/>
      <c r="E297" s="404"/>
      <c r="F297" s="404"/>
      <c r="G297" s="449"/>
      <c r="H297" s="480"/>
      <c r="I297" s="480">
        <f>H300</f>
        <v>39211</v>
      </c>
      <c r="J297" s="480">
        <f>I300</f>
        <v>56893.724999999999</v>
      </c>
      <c r="K297" s="480">
        <f>J300</f>
        <v>54880.916249999995</v>
      </c>
      <c r="L297" s="480">
        <f>K300</f>
        <v>53378.153812499993</v>
      </c>
      <c r="M297" s="480">
        <f>L300</f>
        <v>52031.430740624994</v>
      </c>
      <c r="N297" s="421"/>
      <c r="O297" s="421"/>
    </row>
    <row r="298" spans="2:16" s="412" customFormat="1" ht="15" customHeight="1" outlineLevel="1">
      <c r="B298" s="453" t="s">
        <v>54</v>
      </c>
      <c r="C298" s="402"/>
      <c r="D298" s="404"/>
      <c r="E298" s="404"/>
      <c r="F298" s="404"/>
      <c r="G298" s="449"/>
      <c r="H298" s="480"/>
      <c r="I298" s="480">
        <f>I291</f>
        <v>25475</v>
      </c>
      <c r="J298" s="480">
        <f>J291</f>
        <v>7050</v>
      </c>
      <c r="K298" s="480">
        <f>K291</f>
        <v>7275</v>
      </c>
      <c r="L298" s="480">
        <f>L291</f>
        <v>7200</v>
      </c>
      <c r="M298" s="480">
        <f>M291</f>
        <v>7687.5</v>
      </c>
      <c r="N298" s="421"/>
      <c r="O298" s="421"/>
    </row>
    <row r="299" spans="2:16" s="412" customFormat="1" ht="15" customHeight="1" outlineLevel="1">
      <c r="B299" s="453" t="s">
        <v>109</v>
      </c>
      <c r="H299" s="604"/>
      <c r="I299" s="485">
        <f>-(I297+I298*$D$285)*$D$286</f>
        <v>-7792.2749999999996</v>
      </c>
      <c r="J299" s="485">
        <f>-(J297+J298*$D$285)*$D$286</f>
        <v>-9062.8087500000001</v>
      </c>
      <c r="K299" s="485">
        <f>-(K297+K298*$D$285)*$D$286</f>
        <v>-8777.7624374999996</v>
      </c>
      <c r="L299" s="485">
        <f>-(L297+L298*$D$285)*$D$286</f>
        <v>-8546.7230718749979</v>
      </c>
      <c r="M299" s="485">
        <f>-(M297+M298*$D$285)*$D$286</f>
        <v>-8381.2771110937483</v>
      </c>
      <c r="P299" s="605"/>
    </row>
    <row r="300" spans="2:16" s="412" customFormat="1" ht="15" customHeight="1" outlineLevel="1">
      <c r="B300" s="453" t="s">
        <v>92</v>
      </c>
      <c r="C300" s="402"/>
      <c r="D300" s="404"/>
      <c r="E300" s="404"/>
      <c r="F300" s="387"/>
      <c r="G300" s="449"/>
      <c r="H300" s="406">
        <f>Inputs!$L$53</f>
        <v>39211</v>
      </c>
      <c r="I300" s="480">
        <f>SUM(I297:I299)</f>
        <v>56893.724999999999</v>
      </c>
      <c r="J300" s="480">
        <f>SUM(J297:J299)</f>
        <v>54880.916249999995</v>
      </c>
      <c r="K300" s="480">
        <f>SUM(K297:K299)</f>
        <v>53378.153812499993</v>
      </c>
      <c r="L300" s="480">
        <f>SUM(L297:L299)</f>
        <v>52031.430740624994</v>
      </c>
      <c r="M300" s="480">
        <f>SUM(M297:M299)</f>
        <v>51337.653629531247</v>
      </c>
      <c r="P300" s="386"/>
    </row>
    <row r="301" spans="2:16" s="412" customFormat="1" ht="15" customHeight="1" outlineLevel="1">
      <c r="B301" s="417"/>
      <c r="C301" s="402"/>
      <c r="D301" s="404"/>
      <c r="E301" s="404"/>
      <c r="F301" s="404"/>
      <c r="G301" s="404"/>
      <c r="H301" s="404"/>
      <c r="I301" s="421"/>
      <c r="J301" s="421"/>
      <c r="K301" s="421"/>
      <c r="L301" s="421"/>
      <c r="M301" s="421"/>
      <c r="P301" s="386"/>
    </row>
    <row r="302" spans="2:16" s="412" customFormat="1" ht="15" customHeight="1" outlineLevel="1">
      <c r="B302" s="417"/>
      <c r="C302" s="402"/>
      <c r="D302" s="404"/>
      <c r="E302" s="404"/>
      <c r="F302" s="404"/>
      <c r="G302" s="404"/>
      <c r="H302" s="404"/>
      <c r="I302" s="421"/>
      <c r="J302" s="421"/>
      <c r="K302" s="421"/>
      <c r="L302" s="421"/>
      <c r="M302" s="421"/>
      <c r="N302" s="464"/>
      <c r="O302" s="464"/>
      <c r="P302" s="386"/>
    </row>
    <row r="303" spans="2:16" s="412" customFormat="1" ht="15" customHeight="1" outlineLevel="1">
      <c r="B303" s="417"/>
      <c r="C303" s="402"/>
      <c r="D303" s="404"/>
      <c r="E303" s="404"/>
      <c r="F303" s="404"/>
      <c r="G303" s="404"/>
      <c r="H303" s="404"/>
      <c r="I303" s="421"/>
      <c r="J303" s="421"/>
      <c r="K303" s="421"/>
      <c r="L303" s="421"/>
      <c r="M303" s="527" t="s">
        <v>108</v>
      </c>
      <c r="N303" s="407"/>
      <c r="O303" s="407"/>
      <c r="P303" s="386"/>
    </row>
    <row r="304" spans="2:16" s="412" customFormat="1" ht="15" customHeight="1" outlineLevel="1">
      <c r="B304" s="417"/>
      <c r="C304" s="402"/>
      <c r="D304" s="404"/>
      <c r="E304" s="404"/>
      <c r="F304" s="404"/>
      <c r="G304" s="404"/>
      <c r="H304" s="404"/>
      <c r="I304" s="421"/>
      <c r="J304" s="421"/>
      <c r="K304" s="421"/>
      <c r="L304" s="421"/>
      <c r="M304" s="527"/>
      <c r="N304" s="407"/>
      <c r="O304" s="407"/>
      <c r="P304" s="386"/>
    </row>
    <row r="305" spans="1:16" s="412" customFormat="1" ht="15" customHeight="1" outlineLevel="1">
      <c r="B305" s="588"/>
      <c r="C305" s="482"/>
      <c r="D305" s="484"/>
      <c r="E305" s="484"/>
      <c r="F305" s="484"/>
      <c r="G305" s="484"/>
      <c r="H305" s="484"/>
      <c r="I305" s="589"/>
      <c r="J305" s="589"/>
      <c r="K305" s="589"/>
      <c r="L305" s="589"/>
      <c r="M305" s="589"/>
      <c r="N305" s="525"/>
      <c r="O305" s="525"/>
      <c r="P305" s="386"/>
    </row>
    <row r="306" spans="1:16" s="412" customFormat="1" ht="15" customHeight="1">
      <c r="B306" s="417"/>
      <c r="C306" s="402"/>
      <c r="D306" s="404"/>
      <c r="E306" s="404"/>
      <c r="F306" s="404"/>
      <c r="G306" s="404"/>
      <c r="H306" s="404"/>
      <c r="I306" s="421"/>
      <c r="J306" s="421"/>
      <c r="K306" s="421"/>
      <c r="L306" s="421"/>
      <c r="M306" s="421"/>
      <c r="N306" s="525"/>
      <c r="O306" s="525"/>
      <c r="P306" s="386"/>
    </row>
    <row r="307" spans="1:16" s="412" customFormat="1" ht="15" customHeight="1">
      <c r="A307" s="412" t="s">
        <v>0</v>
      </c>
      <c r="B307" s="408" t="s">
        <v>107</v>
      </c>
      <c r="C307" s="409"/>
      <c r="D307" s="516"/>
      <c r="E307" s="516"/>
      <c r="F307" s="411"/>
      <c r="G307" s="411"/>
      <c r="H307" s="411"/>
      <c r="I307" s="517"/>
      <c r="J307" s="518"/>
      <c r="K307" s="518"/>
      <c r="L307" s="518"/>
      <c r="M307" s="518"/>
      <c r="N307" s="525"/>
      <c r="O307" s="525"/>
      <c r="P307" s="605"/>
    </row>
    <row r="308" spans="1:16" s="412" customFormat="1" ht="15" customHeight="1" outlineLevel="1">
      <c r="B308" s="413"/>
      <c r="C308" s="402"/>
      <c r="D308" s="414"/>
      <c r="E308" s="414"/>
      <c r="F308" s="415"/>
      <c r="G308" s="415"/>
      <c r="H308" s="415"/>
      <c r="I308" s="415"/>
      <c r="J308" s="415"/>
      <c r="K308" s="415"/>
      <c r="L308" s="415"/>
      <c r="M308" s="415"/>
      <c r="N308" s="525"/>
      <c r="O308" s="525"/>
    </row>
    <row r="309" spans="1:16" s="412" customFormat="1" ht="15" customHeight="1" outlineLevel="1" thickBot="1">
      <c r="B309" s="417" t="s">
        <v>15</v>
      </c>
      <c r="C309" s="402"/>
      <c r="D309" s="404"/>
      <c r="E309" s="404"/>
      <c r="F309" s="404"/>
      <c r="G309" s="404"/>
      <c r="H309" s="418">
        <f t="shared" ref="H309:M309" si="87">H$4</f>
        <v>2022</v>
      </c>
      <c r="I309" s="419">
        <f t="shared" si="87"/>
        <v>2023</v>
      </c>
      <c r="J309" s="419">
        <f t="shared" si="87"/>
        <v>2024</v>
      </c>
      <c r="K309" s="419">
        <f t="shared" si="87"/>
        <v>2025</v>
      </c>
      <c r="L309" s="419">
        <f t="shared" si="87"/>
        <v>2026</v>
      </c>
      <c r="M309" s="419">
        <f t="shared" si="87"/>
        <v>2027</v>
      </c>
      <c r="N309" s="525"/>
      <c r="O309" s="525"/>
      <c r="P309" s="407"/>
    </row>
    <row r="310" spans="1:16" ht="15" customHeight="1" outlineLevel="1">
      <c r="A310" s="385"/>
      <c r="B310" s="417" t="str">
        <f>B$5</f>
        <v>Model Running: Base Case Drivers</v>
      </c>
      <c r="C310" s="402"/>
      <c r="D310" s="404"/>
      <c r="E310" s="404"/>
      <c r="F310" s="404"/>
      <c r="G310" s="404"/>
      <c r="H310" s="404"/>
      <c r="I310" s="421"/>
      <c r="J310" s="421"/>
      <c r="K310" s="421"/>
      <c r="L310" s="421"/>
      <c r="M310" s="421"/>
      <c r="P310" s="407"/>
    </row>
    <row r="311" spans="1:16" s="412" customFormat="1" ht="15" customHeight="1" outlineLevel="1">
      <c r="B311" s="417"/>
      <c r="C311" s="402"/>
      <c r="D311" s="404"/>
      <c r="E311" s="404"/>
      <c r="F311" s="404"/>
      <c r="G311" s="404"/>
      <c r="H311" s="404"/>
      <c r="I311" s="421"/>
      <c r="J311" s="421"/>
      <c r="K311" s="421"/>
      <c r="L311" s="421"/>
      <c r="M311" s="421"/>
      <c r="N311" s="464"/>
      <c r="O311" s="464"/>
    </row>
    <row r="312" spans="1:16" s="412" customFormat="1" ht="15" customHeight="1" outlineLevel="1">
      <c r="B312" s="550" t="s">
        <v>106</v>
      </c>
      <c r="C312" s="402"/>
      <c r="D312" s="404"/>
      <c r="E312" s="404"/>
      <c r="G312" s="449"/>
      <c r="H312" s="480"/>
      <c r="I312" s="498">
        <f ca="1">I26</f>
        <v>14651.172113577997</v>
      </c>
      <c r="J312" s="486">
        <f ca="1">J26</f>
        <v>13931.302438224518</v>
      </c>
      <c r="K312" s="486">
        <f ca="1">K26</f>
        <v>13949.21109245232</v>
      </c>
      <c r="L312" s="486">
        <f ca="1">L26</f>
        <v>13865.25003340816</v>
      </c>
      <c r="M312" s="499">
        <f ca="1">M26</f>
        <v>13405.370029820375</v>
      </c>
      <c r="N312" s="407"/>
      <c r="O312" s="407"/>
    </row>
    <row r="313" spans="1:16" s="412" customFormat="1" ht="15" customHeight="1" outlineLevel="1">
      <c r="B313" s="550" t="s">
        <v>105</v>
      </c>
      <c r="C313" s="402"/>
      <c r="D313" s="404"/>
      <c r="E313" s="404"/>
      <c r="F313" s="404"/>
      <c r="G313" s="404"/>
      <c r="H313" s="404"/>
      <c r="I313" s="606">
        <f ca="1">IF(I323&gt;0,1,0)</f>
        <v>1</v>
      </c>
      <c r="J313" s="607">
        <f ca="1">IF(J323&gt;0,1,0)</f>
        <v>1</v>
      </c>
      <c r="K313" s="607">
        <f ca="1">IF(K323&gt;0,1,0)</f>
        <v>1</v>
      </c>
      <c r="L313" s="607">
        <f ca="1">IF(L323&gt;0,1,0)</f>
        <v>1</v>
      </c>
      <c r="M313" s="608">
        <f ca="1">IF(M323&gt;0,1,0)</f>
        <v>1</v>
      </c>
      <c r="N313" s="407"/>
      <c r="O313" s="407"/>
    </row>
    <row r="314" spans="1:16" s="412" customFormat="1" ht="15" customHeight="1" outlineLevel="1">
      <c r="B314" s="417"/>
      <c r="C314" s="402"/>
      <c r="D314" s="404"/>
      <c r="E314" s="404"/>
      <c r="F314" s="404"/>
      <c r="G314" s="404"/>
      <c r="H314" s="404"/>
      <c r="I314" s="421"/>
      <c r="J314" s="421"/>
      <c r="K314" s="421"/>
      <c r="L314" s="421"/>
      <c r="M314" s="421"/>
      <c r="N314" s="407"/>
      <c r="O314" s="407"/>
    </row>
    <row r="315" spans="1:16" s="412" customFormat="1" ht="15" customHeight="1" outlineLevel="1">
      <c r="B315" s="557" t="s">
        <v>38</v>
      </c>
      <c r="C315" s="609"/>
      <c r="D315" s="610">
        <f>Inputs!L50</f>
        <v>0.3</v>
      </c>
      <c r="E315" s="404"/>
      <c r="F315" s="404"/>
      <c r="G315" s="404"/>
      <c r="H315" s="404"/>
      <c r="I315" s="421"/>
      <c r="J315" s="421"/>
      <c r="K315" s="421"/>
      <c r="L315" s="421"/>
      <c r="M315" s="421"/>
      <c r="N315" s="407"/>
      <c r="O315" s="407"/>
      <c r="P315" s="474"/>
    </row>
    <row r="316" spans="1:16" ht="15" customHeight="1" outlineLevel="1">
      <c r="A316" s="412"/>
      <c r="B316" s="611" t="s">
        <v>2</v>
      </c>
      <c r="C316" s="482"/>
      <c r="D316" s="612">
        <f ca="1">IF(M334=0,0,1)</f>
        <v>0</v>
      </c>
      <c r="E316" s="404"/>
      <c r="F316" s="480"/>
      <c r="G316" s="613"/>
      <c r="H316" s="480"/>
      <c r="I316" s="480"/>
      <c r="J316" s="480"/>
      <c r="K316" s="480"/>
      <c r="L316" s="480"/>
      <c r="N316" s="407"/>
      <c r="O316" s="407"/>
    </row>
    <row r="317" spans="1:16" s="412" customFormat="1" ht="15" customHeight="1" outlineLevel="1">
      <c r="B317" s="417"/>
      <c r="C317" s="402"/>
      <c r="D317" s="614"/>
      <c r="E317" s="404"/>
      <c r="F317" s="404"/>
      <c r="G317" s="404"/>
      <c r="H317" s="404"/>
      <c r="I317" s="421"/>
      <c r="J317" s="421"/>
      <c r="K317" s="421"/>
      <c r="L317" s="421"/>
      <c r="M317" s="421"/>
    </row>
    <row r="318" spans="1:16" s="412" customFormat="1" ht="15" customHeight="1" outlineLevel="1">
      <c r="B318" s="417"/>
      <c r="C318" s="402"/>
      <c r="D318" s="614"/>
      <c r="E318" s="404"/>
      <c r="F318" s="404"/>
      <c r="G318" s="404"/>
      <c r="H318" s="404"/>
      <c r="I318" s="421"/>
      <c r="J318" s="421"/>
      <c r="K318" s="421"/>
      <c r="L318" s="421"/>
      <c r="M318" s="421"/>
    </row>
    <row r="319" spans="1:16" s="412" customFormat="1" ht="15" customHeight="1" outlineLevel="1">
      <c r="B319" s="555" t="s">
        <v>104</v>
      </c>
      <c r="C319" s="402"/>
      <c r="D319" s="404"/>
      <c r="E319" s="404"/>
      <c r="F319" s="404"/>
      <c r="G319" s="404"/>
      <c r="H319" s="404"/>
      <c r="I319" s="421"/>
      <c r="J319" s="421"/>
      <c r="K319" s="421"/>
      <c r="L319" s="421"/>
      <c r="M319" s="421"/>
      <c r="N319" s="464"/>
      <c r="O319" s="464"/>
    </row>
    <row r="320" spans="1:16" s="412" customFormat="1" ht="15" customHeight="1" outlineLevel="1">
      <c r="B320" s="453" t="s">
        <v>103</v>
      </c>
      <c r="C320" s="402"/>
      <c r="D320" s="404"/>
      <c r="E320" s="404"/>
      <c r="F320" s="404"/>
      <c r="G320" s="404"/>
      <c r="H320" s="480"/>
      <c r="I320" s="480">
        <f ca="1">I312</f>
        <v>14651.172113577997</v>
      </c>
      <c r="J320" s="480">
        <f ca="1">J312</f>
        <v>13931.302438224518</v>
      </c>
      <c r="K320" s="480">
        <f ca="1">K312</f>
        <v>13949.21109245232</v>
      </c>
      <c r="L320" s="480">
        <f ca="1">L312</f>
        <v>13865.25003340816</v>
      </c>
      <c r="M320" s="480">
        <f ca="1">M312</f>
        <v>13405.370029820375</v>
      </c>
      <c r="N320" s="464"/>
      <c r="O320" s="464"/>
      <c r="P320" s="386"/>
    </row>
    <row r="321" spans="2:16" s="412" customFormat="1" ht="15" customHeight="1" outlineLevel="1">
      <c r="B321" s="453" t="s">
        <v>102</v>
      </c>
      <c r="C321" s="402"/>
      <c r="D321" s="404"/>
      <c r="E321" s="404"/>
      <c r="F321" s="404"/>
      <c r="G321" s="404"/>
      <c r="H321" s="438"/>
      <c r="I321" s="480">
        <f>-I$292</f>
        <v>5349.8125</v>
      </c>
      <c r="J321" s="480">
        <f>-J$292</f>
        <v>6162.9375</v>
      </c>
      <c r="K321" s="480">
        <f>-K$292</f>
        <v>6521.0625</v>
      </c>
      <c r="L321" s="480">
        <f>-L$292</f>
        <v>6882.9375</v>
      </c>
      <c r="M321" s="480">
        <f>-M$292</f>
        <v>7255.125</v>
      </c>
      <c r="N321" s="407"/>
      <c r="O321" s="407"/>
      <c r="P321" s="386"/>
    </row>
    <row r="322" spans="2:16" s="412" customFormat="1" ht="15" customHeight="1" outlineLevel="1">
      <c r="B322" s="453" t="s">
        <v>101</v>
      </c>
      <c r="C322" s="402"/>
      <c r="D322" s="404"/>
      <c r="E322" s="404"/>
      <c r="F322" s="404"/>
      <c r="G322" s="404"/>
      <c r="H322" s="438"/>
      <c r="I322" s="485">
        <f>I$299</f>
        <v>-7792.2749999999996</v>
      </c>
      <c r="J322" s="485">
        <f>J$299</f>
        <v>-9062.8087500000001</v>
      </c>
      <c r="K322" s="485">
        <f>K$299</f>
        <v>-8777.7624374999996</v>
      </c>
      <c r="L322" s="485">
        <f>L$299</f>
        <v>-8546.7230718749979</v>
      </c>
      <c r="M322" s="485">
        <f>M$299</f>
        <v>-8381.2771110937483</v>
      </c>
      <c r="N322" s="407"/>
      <c r="O322" s="407"/>
      <c r="P322" s="393"/>
    </row>
    <row r="323" spans="2:16" s="412" customFormat="1" ht="15" customHeight="1" outlineLevel="1">
      <c r="B323" s="453" t="s">
        <v>99</v>
      </c>
      <c r="C323" s="402"/>
      <c r="D323" s="404"/>
      <c r="E323" s="404"/>
      <c r="F323" s="404"/>
      <c r="G323" s="404"/>
      <c r="H323" s="480"/>
      <c r="I323" s="480">
        <f ca="1">SUM(I320:I322)</f>
        <v>12208.709613577996</v>
      </c>
      <c r="J323" s="480">
        <f ca="1">SUM(J320:J322)</f>
        <v>11031.43118822452</v>
      </c>
      <c r="K323" s="480">
        <f ca="1">SUM(K320:K322)</f>
        <v>11692.511154952323</v>
      </c>
      <c r="L323" s="480">
        <f ca="1">SUM(L320:L322)</f>
        <v>12201.464461533162</v>
      </c>
      <c r="M323" s="480">
        <f ca="1">SUM(M320:M322)</f>
        <v>12279.217918726628</v>
      </c>
      <c r="N323" s="464"/>
      <c r="O323" s="464"/>
      <c r="P323" s="386"/>
    </row>
    <row r="324" spans="2:16" s="412" customFormat="1" ht="15" customHeight="1" outlineLevel="1">
      <c r="B324" s="417"/>
      <c r="C324" s="402"/>
      <c r="D324" s="404"/>
      <c r="E324" s="404"/>
      <c r="F324" s="404"/>
      <c r="G324" s="404"/>
      <c r="H324" s="438"/>
      <c r="I324" s="480"/>
      <c r="J324" s="480"/>
      <c r="K324" s="480"/>
      <c r="L324" s="480"/>
      <c r="M324" s="480"/>
      <c r="N324" s="407"/>
      <c r="O324" s="407"/>
      <c r="P324" s="386"/>
    </row>
    <row r="325" spans="2:16" s="412" customFormat="1" ht="15" customHeight="1" outlineLevel="1">
      <c r="B325" s="535" t="s">
        <v>205</v>
      </c>
      <c r="C325" s="402"/>
      <c r="D325" s="404"/>
      <c r="E325" s="404"/>
      <c r="F325" s="404"/>
      <c r="G325" s="404"/>
      <c r="H325" s="438"/>
      <c r="I325" s="480"/>
      <c r="J325" s="480"/>
      <c r="K325" s="480"/>
      <c r="L325" s="480"/>
      <c r="M325" s="480"/>
      <c r="N325" s="407"/>
      <c r="O325" s="407"/>
    </row>
    <row r="326" spans="2:16" s="412" customFormat="1" ht="15" customHeight="1" outlineLevel="1">
      <c r="B326" s="453" t="s">
        <v>99</v>
      </c>
      <c r="C326" s="402"/>
      <c r="D326" s="404"/>
      <c r="E326" s="404"/>
      <c r="F326" s="404"/>
      <c r="G326" s="404"/>
      <c r="H326" s="480"/>
      <c r="I326" s="480">
        <f ca="1">I323</f>
        <v>12208.709613577996</v>
      </c>
      <c r="J326" s="480">
        <f ca="1">J323</f>
        <v>11031.43118822452</v>
      </c>
      <c r="K326" s="480">
        <f ca="1">K323</f>
        <v>11692.511154952323</v>
      </c>
      <c r="L326" s="480">
        <f ca="1">L323</f>
        <v>12201.464461533162</v>
      </c>
      <c r="M326" s="480">
        <f ca="1">M323</f>
        <v>12279.217918726628</v>
      </c>
      <c r="N326" s="407"/>
      <c r="O326" s="407"/>
    </row>
    <row r="327" spans="2:16" s="412" customFormat="1" ht="15" customHeight="1" outlineLevel="1">
      <c r="B327" s="615" t="s">
        <v>206</v>
      </c>
      <c r="C327" s="402"/>
      <c r="D327" s="404"/>
      <c r="E327" s="404"/>
      <c r="F327" s="404"/>
      <c r="G327" s="404"/>
      <c r="H327" s="438"/>
      <c r="I327" s="485">
        <f ca="1">I333</f>
        <v>-2657</v>
      </c>
      <c r="J327" s="485">
        <f ca="1">J333</f>
        <v>0</v>
      </c>
      <c r="K327" s="485">
        <f ca="1">K333</f>
        <v>0</v>
      </c>
      <c r="L327" s="485">
        <f ca="1">L333</f>
        <v>0</v>
      </c>
      <c r="M327" s="485">
        <f ca="1">M333</f>
        <v>0</v>
      </c>
      <c r="N327" s="407"/>
      <c r="O327" s="407"/>
    </row>
    <row r="328" spans="2:16" s="412" customFormat="1" ht="15" customHeight="1" outlineLevel="1">
      <c r="B328" s="453" t="s">
        <v>97</v>
      </c>
      <c r="C328" s="402"/>
      <c r="D328" s="404"/>
      <c r="E328" s="404"/>
      <c r="F328" s="404"/>
      <c r="G328" s="404"/>
      <c r="H328" s="438"/>
      <c r="I328" s="480">
        <f ca="1" xml:space="preserve"> MAX(SUM(I326:I327),0)</f>
        <v>9551.7096135779957</v>
      </c>
      <c r="J328" s="480">
        <f ca="1" xml:space="preserve"> MAX(SUM(J326:J327),0)</f>
        <v>11031.43118822452</v>
      </c>
      <c r="K328" s="480">
        <f ca="1" xml:space="preserve"> MAX(SUM(K326:K327),0)</f>
        <v>11692.511154952323</v>
      </c>
      <c r="L328" s="480">
        <f ca="1" xml:space="preserve"> MAX(SUM(L326:L327),0)</f>
        <v>12201.464461533162</v>
      </c>
      <c r="M328" s="480">
        <f ca="1" xml:space="preserve"> MAX(SUM(M326:M327),0)</f>
        <v>12279.217918726628</v>
      </c>
      <c r="N328" s="464"/>
      <c r="O328" s="464"/>
    </row>
    <row r="329" spans="2:16" s="412" customFormat="1" ht="15" customHeight="1" outlineLevel="1">
      <c r="B329" s="417"/>
      <c r="C329" s="402"/>
      <c r="D329" s="404"/>
      <c r="E329" s="404"/>
      <c r="F329" s="404"/>
      <c r="G329" s="404"/>
      <c r="H329" s="438"/>
      <c r="I329" s="438"/>
      <c r="J329" s="438"/>
      <c r="K329" s="438"/>
      <c r="L329" s="438"/>
      <c r="M329" s="438"/>
      <c r="N329" s="464"/>
      <c r="O329" s="464"/>
    </row>
    <row r="330" spans="2:16" s="412" customFormat="1" ht="15" customHeight="1" outlineLevel="1">
      <c r="B330" s="535" t="s">
        <v>96</v>
      </c>
      <c r="C330" s="402"/>
      <c r="D330" s="404"/>
      <c r="E330" s="404"/>
      <c r="F330" s="404"/>
      <c r="G330" s="404"/>
      <c r="H330" s="438"/>
      <c r="I330" s="438"/>
      <c r="J330" s="438"/>
      <c r="K330" s="438"/>
      <c r="L330" s="438"/>
      <c r="M330" s="438"/>
      <c r="N330" s="464"/>
      <c r="O330" s="464"/>
    </row>
    <row r="331" spans="2:16" s="412" customFormat="1" ht="15" customHeight="1" outlineLevel="1">
      <c r="B331" s="453" t="s">
        <v>95</v>
      </c>
      <c r="C331" s="402"/>
      <c r="D331" s="404"/>
      <c r="E331" s="404"/>
      <c r="F331" s="404"/>
      <c r="G331" s="404"/>
      <c r="H331" s="438"/>
      <c r="I331" s="480">
        <f>H334</f>
        <v>2657</v>
      </c>
      <c r="J331" s="480">
        <f ca="1">I334</f>
        <v>0</v>
      </c>
      <c r="K331" s="480">
        <f ca="1">J334</f>
        <v>0</v>
      </c>
      <c r="L331" s="480">
        <f ca="1">K334</f>
        <v>0</v>
      </c>
      <c r="M331" s="480">
        <f ca="1">L334</f>
        <v>0</v>
      </c>
      <c r="N331" s="464"/>
      <c r="O331" s="464"/>
    </row>
    <row r="332" spans="2:16" s="412" customFormat="1" ht="15" customHeight="1" outlineLevel="1">
      <c r="B332" s="453" t="s">
        <v>94</v>
      </c>
      <c r="C332" s="402"/>
      <c r="D332" s="404"/>
      <c r="E332" s="404"/>
      <c r="F332" s="404"/>
      <c r="G332" s="404"/>
      <c r="H332" s="438"/>
      <c r="I332" s="480">
        <f ca="1">-MIN(I320,0)</f>
        <v>0</v>
      </c>
      <c r="J332" s="480">
        <f ca="1">-MIN(J320,0)</f>
        <v>0</v>
      </c>
      <c r="K332" s="480">
        <f ca="1">-MIN(K320,0)</f>
        <v>0</v>
      </c>
      <c r="L332" s="480">
        <f ca="1">-MIN(L320,0)</f>
        <v>0</v>
      </c>
      <c r="M332" s="480">
        <f ca="1">-MIN(M320,0)</f>
        <v>0</v>
      </c>
      <c r="N332" s="464"/>
      <c r="O332" s="464"/>
      <c r="P332" s="386"/>
    </row>
    <row r="333" spans="2:16" s="412" customFormat="1" ht="15" customHeight="1" outlineLevel="1">
      <c r="B333" s="615" t="s">
        <v>93</v>
      </c>
      <c r="C333" s="402"/>
      <c r="D333" s="404"/>
      <c r="E333" s="404"/>
      <c r="F333" s="404"/>
      <c r="G333" s="404"/>
      <c r="H333" s="616"/>
      <c r="I333" s="485">
        <f ca="1">-MIN(I331,I326)*I313</f>
        <v>-2657</v>
      </c>
      <c r="J333" s="485">
        <f ca="1">-MIN(J331,J326)*J313</f>
        <v>0</v>
      </c>
      <c r="K333" s="485">
        <f ca="1">-MIN(K331,K326)*K313</f>
        <v>0</v>
      </c>
      <c r="L333" s="485">
        <f ca="1">-MIN(L331,L326)*L313</f>
        <v>0</v>
      </c>
      <c r="M333" s="485">
        <f ca="1">-MIN(M331,M326)*M313</f>
        <v>0</v>
      </c>
      <c r="N333" s="464"/>
      <c r="O333" s="464"/>
      <c r="P333" s="386"/>
    </row>
    <row r="334" spans="2:16" s="412" customFormat="1" ht="15" customHeight="1" outlineLevel="1">
      <c r="B334" s="453" t="s">
        <v>92</v>
      </c>
      <c r="C334" s="402"/>
      <c r="D334" s="404"/>
      <c r="E334" s="404"/>
      <c r="F334" s="404"/>
      <c r="G334" s="404"/>
      <c r="H334" s="406">
        <f>Inputs!$L$54</f>
        <v>2657</v>
      </c>
      <c r="I334" s="480">
        <f ca="1">SUM(I331:I333)</f>
        <v>0</v>
      </c>
      <c r="J334" s="480">
        <f ca="1">SUM(J331:J333)</f>
        <v>0</v>
      </c>
      <c r="K334" s="480">
        <f ca="1">SUM(K331:K333)</f>
        <v>0</v>
      </c>
      <c r="L334" s="480">
        <f ca="1">SUM(L331:L333)</f>
        <v>0</v>
      </c>
      <c r="M334" s="480">
        <f ca="1">SUM(M331:M333)</f>
        <v>0</v>
      </c>
      <c r="N334" s="407"/>
      <c r="O334" s="407"/>
      <c r="P334" s="386"/>
    </row>
    <row r="335" spans="2:16" s="412" customFormat="1" ht="15" customHeight="1" outlineLevel="1">
      <c r="B335" s="417"/>
      <c r="C335" s="402"/>
      <c r="D335" s="404"/>
      <c r="E335" s="404"/>
      <c r="F335" s="404"/>
      <c r="G335" s="404"/>
      <c r="H335" s="438"/>
      <c r="I335" s="438"/>
      <c r="J335" s="438"/>
      <c r="K335" s="438"/>
      <c r="L335" s="438"/>
      <c r="M335" s="438"/>
      <c r="N335" s="464"/>
      <c r="O335" s="464"/>
    </row>
    <row r="336" spans="2:16" s="412" customFormat="1" ht="15" customHeight="1" outlineLevel="1">
      <c r="B336" s="617"/>
      <c r="C336" s="618"/>
      <c r="D336" s="619"/>
      <c r="E336" s="619"/>
      <c r="F336" s="619"/>
      <c r="G336" s="619"/>
      <c r="H336" s="620"/>
      <c r="I336" s="620"/>
      <c r="J336" s="620"/>
      <c r="K336" s="620"/>
      <c r="L336" s="620"/>
      <c r="M336" s="620"/>
      <c r="N336" s="464"/>
      <c r="O336" s="464"/>
    </row>
    <row r="337" spans="1:16" s="412" customFormat="1" ht="15" customHeight="1" outlineLevel="1">
      <c r="B337" s="417"/>
      <c r="C337" s="402"/>
      <c r="D337" s="404"/>
      <c r="E337" s="404"/>
      <c r="F337" s="404"/>
      <c r="G337" s="404"/>
      <c r="H337" s="438"/>
      <c r="I337" s="438"/>
      <c r="J337" s="438"/>
      <c r="K337" s="438"/>
      <c r="L337" s="438"/>
      <c r="M337" s="438"/>
      <c r="N337" s="464"/>
      <c r="O337" s="464"/>
    </row>
    <row r="338" spans="1:16" s="412" customFormat="1" ht="15" customHeight="1" outlineLevel="1">
      <c r="B338" s="555" t="s">
        <v>91</v>
      </c>
      <c r="C338" s="402"/>
      <c r="D338" s="404"/>
      <c r="E338" s="404"/>
      <c r="F338" s="404"/>
      <c r="G338" s="404"/>
      <c r="H338" s="438"/>
      <c r="I338" s="438"/>
      <c r="J338" s="438"/>
      <c r="K338" s="438"/>
      <c r="L338" s="438"/>
      <c r="M338" s="438"/>
      <c r="N338" s="464"/>
      <c r="O338" s="464"/>
    </row>
    <row r="339" spans="1:16" s="412" customFormat="1" ht="15" customHeight="1" outlineLevel="1">
      <c r="B339" s="453" t="s">
        <v>90</v>
      </c>
      <c r="C339" s="402"/>
      <c r="D339" s="404"/>
      <c r="E339" s="404"/>
      <c r="F339" s="449"/>
      <c r="G339" s="449"/>
      <c r="H339" s="480"/>
      <c r="I339" s="480">
        <f ca="1">$D$315*I328</f>
        <v>2865.5128840733987</v>
      </c>
      <c r="J339" s="480">
        <f ca="1">$D$315*J328</f>
        <v>3309.4293564673558</v>
      </c>
      <c r="K339" s="480">
        <f ca="1">$D$315*K328</f>
        <v>3507.7533464856965</v>
      </c>
      <c r="L339" s="480">
        <f ca="1">$D$315*L328</f>
        <v>3660.4393384599484</v>
      </c>
      <c r="M339" s="480">
        <f ca="1">$D$315*M328</f>
        <v>3683.7653756179884</v>
      </c>
    </row>
    <row r="340" spans="1:16" s="412" customFormat="1" ht="15" customHeight="1" outlineLevel="1">
      <c r="B340" s="453" t="s">
        <v>89</v>
      </c>
      <c r="C340" s="402"/>
      <c r="D340" s="404"/>
      <c r="E340" s="404"/>
      <c r="F340" s="404"/>
      <c r="G340" s="404"/>
      <c r="H340" s="438"/>
      <c r="I340" s="480">
        <f ca="1">I341-I339</f>
        <v>1529.8387499999999</v>
      </c>
      <c r="J340" s="480">
        <f ca="1">J341-J339</f>
        <v>869.96137499999941</v>
      </c>
      <c r="K340" s="480">
        <f ca="1">K341-K339</f>
        <v>677.00998124999978</v>
      </c>
      <c r="L340" s="480">
        <f ca="1">L341-L339</f>
        <v>499.13567156249928</v>
      </c>
      <c r="M340" s="480">
        <f ca="1">M341-M339</f>
        <v>337.84563332812377</v>
      </c>
    </row>
    <row r="341" spans="1:16" s="412" customFormat="1" ht="15" customHeight="1" outlineLevel="1" thickBot="1">
      <c r="B341" s="453" t="s">
        <v>88</v>
      </c>
      <c r="C341" s="402"/>
      <c r="D341" s="404"/>
      <c r="E341" s="404"/>
      <c r="F341" s="404"/>
      <c r="G341" s="404"/>
      <c r="H341" s="438"/>
      <c r="I341" s="513">
        <f ca="1">MAX($D$315*I320,0)</f>
        <v>4395.3516340733986</v>
      </c>
      <c r="J341" s="513">
        <f ca="1">MAX($D$315*J320,0)</f>
        <v>4179.3907314673552</v>
      </c>
      <c r="K341" s="513">
        <f ca="1">MAX($D$315*K320,0)</f>
        <v>4184.7633277356963</v>
      </c>
      <c r="L341" s="513">
        <f ca="1">MAX($D$315*L320,0)</f>
        <v>4159.5750100224477</v>
      </c>
      <c r="M341" s="513">
        <f ca="1">MAX($D$315*M320,0)</f>
        <v>4021.6110089461122</v>
      </c>
    </row>
    <row r="342" spans="1:16" s="412" customFormat="1" ht="15" customHeight="1" outlineLevel="1">
      <c r="B342" s="417"/>
      <c r="C342" s="402"/>
      <c r="D342" s="404"/>
      <c r="E342" s="404"/>
      <c r="F342" s="404"/>
      <c r="G342" s="404"/>
      <c r="H342" s="404"/>
      <c r="I342" s="421"/>
      <c r="J342" s="421"/>
      <c r="K342" s="421"/>
      <c r="L342" s="421"/>
      <c r="M342" s="421"/>
      <c r="N342" s="407"/>
      <c r="O342" s="407"/>
    </row>
    <row r="343" spans="1:16" s="385" customFormat="1" ht="15" customHeight="1" outlineLevel="1">
      <c r="B343" s="434"/>
      <c r="C343" s="434"/>
      <c r="F343" s="464"/>
      <c r="G343" s="464"/>
      <c r="H343" s="464"/>
      <c r="I343" s="621"/>
      <c r="J343" s="621"/>
      <c r="K343" s="621"/>
      <c r="L343" s="621"/>
      <c r="M343" s="622"/>
      <c r="N343" s="398"/>
      <c r="O343" s="398"/>
      <c r="P343" s="407"/>
    </row>
    <row r="344" spans="1:16" s="412" customFormat="1" ht="15" customHeight="1" outlineLevel="1">
      <c r="C344" s="402"/>
      <c r="D344" s="404"/>
      <c r="E344" s="404"/>
      <c r="F344" s="404"/>
      <c r="G344" s="404"/>
      <c r="H344" s="404"/>
      <c r="I344" s="421"/>
      <c r="J344" s="421"/>
      <c r="K344" s="421"/>
      <c r="L344" s="421"/>
      <c r="M344" s="527" t="s">
        <v>87</v>
      </c>
      <c r="N344" s="407"/>
      <c r="O344" s="407"/>
      <c r="P344" s="474"/>
    </row>
    <row r="345" spans="1:16" s="412" customFormat="1" ht="15" customHeight="1" outlineLevel="1">
      <c r="C345" s="402"/>
      <c r="D345" s="404"/>
      <c r="E345" s="404"/>
      <c r="F345" s="404"/>
      <c r="G345" s="404"/>
      <c r="H345" s="404"/>
      <c r="I345" s="421"/>
      <c r="J345" s="421"/>
      <c r="K345" s="421"/>
      <c r="L345" s="421"/>
      <c r="M345" s="590" t="s">
        <v>86</v>
      </c>
      <c r="N345" s="407"/>
      <c r="O345" s="407"/>
      <c r="P345" s="474"/>
    </row>
    <row r="346" spans="1:16" s="412" customFormat="1" ht="15" customHeight="1" outlineLevel="1">
      <c r="C346" s="402"/>
      <c r="D346" s="404"/>
      <c r="E346" s="404"/>
      <c r="F346" s="404"/>
      <c r="G346" s="404"/>
      <c r="H346" s="404"/>
      <c r="I346" s="421"/>
      <c r="J346" s="421"/>
      <c r="K346" s="421"/>
      <c r="L346" s="421"/>
      <c r="M346" s="590"/>
      <c r="N346" s="407"/>
      <c r="O346" s="407"/>
    </row>
    <row r="347" spans="1:16" s="412" customFormat="1" ht="15" customHeight="1" outlineLevel="1">
      <c r="B347" s="588"/>
      <c r="C347" s="482"/>
      <c r="D347" s="484"/>
      <c r="E347" s="484"/>
      <c r="F347" s="484"/>
      <c r="G347" s="484"/>
      <c r="H347" s="484"/>
      <c r="I347" s="589"/>
      <c r="J347" s="589"/>
      <c r="K347" s="589"/>
      <c r="L347" s="589"/>
      <c r="M347" s="589"/>
      <c r="N347" s="464"/>
      <c r="O347" s="464"/>
    </row>
    <row r="348" spans="1:16" s="412" customFormat="1" ht="15" customHeight="1">
      <c r="B348" s="417"/>
      <c r="C348" s="402"/>
      <c r="D348" s="404"/>
      <c r="E348" s="404"/>
      <c r="F348" s="404"/>
      <c r="G348" s="404"/>
      <c r="H348" s="404"/>
      <c r="I348" s="421"/>
      <c r="J348" s="421"/>
      <c r="K348" s="421"/>
      <c r="L348" s="421"/>
      <c r="M348" s="421"/>
      <c r="N348" s="464"/>
      <c r="O348" s="464"/>
    </row>
    <row r="349" spans="1:16" s="412" customFormat="1" ht="15" customHeight="1">
      <c r="A349" s="412" t="s">
        <v>0</v>
      </c>
      <c r="B349" s="408" t="s">
        <v>85</v>
      </c>
      <c r="C349" s="409"/>
      <c r="D349" s="516"/>
      <c r="E349" s="516"/>
      <c r="F349" s="411"/>
      <c r="G349" s="411"/>
      <c r="H349" s="411"/>
      <c r="I349" s="517"/>
      <c r="J349" s="518"/>
      <c r="K349" s="518"/>
      <c r="L349" s="518"/>
      <c r="M349" s="518"/>
      <c r="N349" s="525"/>
      <c r="O349" s="525"/>
      <c r="P349" s="605"/>
    </row>
    <row r="350" spans="1:16" s="412" customFormat="1" ht="15" customHeight="1" outlineLevel="1">
      <c r="B350" s="413"/>
      <c r="C350" s="402"/>
      <c r="D350" s="414"/>
      <c r="E350" s="414"/>
      <c r="F350" s="415"/>
      <c r="G350" s="415"/>
      <c r="H350" s="415"/>
      <c r="I350" s="415"/>
      <c r="J350" s="415"/>
      <c r="K350" s="415"/>
      <c r="L350" s="415"/>
      <c r="M350" s="415"/>
      <c r="N350" s="525"/>
      <c r="O350" s="525"/>
    </row>
    <row r="351" spans="1:16" s="412" customFormat="1" ht="15" customHeight="1" outlineLevel="1" thickBot="1">
      <c r="B351" s="417" t="s">
        <v>15</v>
      </c>
      <c r="C351" s="402"/>
      <c r="D351" s="404"/>
      <c r="E351" s="404"/>
      <c r="F351" s="404"/>
      <c r="G351" s="404"/>
      <c r="H351" s="418">
        <f t="shared" ref="H351:M351" si="88">H$4</f>
        <v>2022</v>
      </c>
      <c r="I351" s="419">
        <f t="shared" si="88"/>
        <v>2023</v>
      </c>
      <c r="J351" s="419">
        <f t="shared" si="88"/>
        <v>2024</v>
      </c>
      <c r="K351" s="419">
        <f t="shared" si="88"/>
        <v>2025</v>
      </c>
      <c r="L351" s="419">
        <f t="shared" si="88"/>
        <v>2026</v>
      </c>
      <c r="M351" s="419">
        <f t="shared" si="88"/>
        <v>2027</v>
      </c>
      <c r="N351" s="525"/>
      <c r="O351" s="525"/>
      <c r="P351" s="407"/>
    </row>
    <row r="352" spans="1:16" ht="15" customHeight="1" outlineLevel="1">
      <c r="A352" s="385"/>
      <c r="B352" s="417" t="str">
        <f>B$5</f>
        <v>Model Running: Base Case Drivers</v>
      </c>
      <c r="C352" s="402"/>
      <c r="D352" s="404"/>
      <c r="E352" s="404"/>
      <c r="F352" s="404"/>
      <c r="G352" s="404"/>
      <c r="H352" s="404"/>
      <c r="I352" s="421"/>
      <c r="J352" s="421"/>
      <c r="K352" s="421"/>
      <c r="L352" s="421"/>
      <c r="M352" s="421"/>
      <c r="P352" s="407"/>
    </row>
    <row r="353" spans="2:16" s="412" customFormat="1" ht="15" customHeight="1" outlineLevel="1">
      <c r="B353" s="417"/>
      <c r="C353" s="402"/>
      <c r="D353" s="404"/>
      <c r="E353" s="404"/>
      <c r="F353" s="404"/>
      <c r="G353" s="404"/>
      <c r="H353" s="404"/>
      <c r="I353" s="421"/>
      <c r="J353" s="421"/>
      <c r="K353" s="421"/>
      <c r="L353" s="421"/>
      <c r="M353" s="421"/>
      <c r="N353" s="464"/>
      <c r="O353" s="464"/>
    </row>
    <row r="354" spans="2:16" s="412" customFormat="1" ht="15" customHeight="1" outlineLevel="1">
      <c r="B354" s="417"/>
      <c r="C354" s="402"/>
      <c r="D354" s="404"/>
      <c r="E354" s="404"/>
      <c r="F354" s="404"/>
      <c r="G354" s="404"/>
      <c r="H354" s="404"/>
      <c r="I354" s="421"/>
      <c r="J354" s="421"/>
      <c r="K354" s="421"/>
      <c r="L354" s="421"/>
      <c r="M354" s="421"/>
      <c r="N354" s="464"/>
      <c r="O354" s="464"/>
    </row>
    <row r="355" spans="2:16" ht="15" customHeight="1" outlineLevel="1">
      <c r="B355" s="555" t="s">
        <v>84</v>
      </c>
      <c r="C355" s="402"/>
      <c r="D355" s="404"/>
      <c r="E355" s="404"/>
      <c r="F355" s="404"/>
      <c r="G355" s="404"/>
      <c r="H355" s="404"/>
      <c r="I355" s="421"/>
      <c r="J355" s="421"/>
      <c r="K355" s="421"/>
      <c r="L355" s="421"/>
      <c r="M355" s="421"/>
    </row>
    <row r="356" spans="2:16" ht="15" customHeight="1" outlineLevel="1">
      <c r="B356" s="555"/>
      <c r="C356" s="402"/>
      <c r="D356" s="404"/>
      <c r="E356" s="404"/>
      <c r="F356" s="404"/>
      <c r="G356" s="404"/>
      <c r="H356" s="404"/>
      <c r="I356" s="421"/>
      <c r="J356" s="421"/>
      <c r="K356" s="421"/>
      <c r="L356" s="421"/>
      <c r="M356" s="421"/>
    </row>
    <row r="357" spans="2:16" ht="15" customHeight="1" outlineLevel="1">
      <c r="B357" s="453" t="s">
        <v>63</v>
      </c>
      <c r="C357" s="402"/>
      <c r="D357" s="404"/>
      <c r="E357" s="404"/>
      <c r="F357" s="404"/>
      <c r="G357" s="404"/>
      <c r="H357" s="480"/>
      <c r="I357" s="623">
        <f>H359</f>
        <v>8409.9990999999991</v>
      </c>
      <c r="J357" s="623">
        <f t="shared" ref="J357:M357" ca="1" si="89">I359</f>
        <v>0</v>
      </c>
      <c r="K357" s="623">
        <f t="shared" ca="1" si="89"/>
        <v>0</v>
      </c>
      <c r="L357" s="623">
        <f t="shared" ca="1" si="89"/>
        <v>0</v>
      </c>
      <c r="M357" s="623">
        <f t="shared" ca="1" si="89"/>
        <v>648.00171731224509</v>
      </c>
      <c r="O357" s="430"/>
    </row>
    <row r="358" spans="2:16" ht="15" customHeight="1" outlineLevel="1">
      <c r="B358" s="453" t="s">
        <v>43</v>
      </c>
      <c r="C358" s="402"/>
      <c r="D358" s="404"/>
      <c r="E358" s="404"/>
      <c r="F358" s="404"/>
      <c r="G358" s="404"/>
      <c r="H358" s="616"/>
      <c r="I358" s="624">
        <f ca="1">I69</f>
        <v>-8409.9990999999973</v>
      </c>
      <c r="J358" s="624">
        <f t="shared" ref="J358:M358" ca="1" si="90">J69</f>
        <v>0</v>
      </c>
      <c r="K358" s="624">
        <f t="shared" ca="1" si="90"/>
        <v>0</v>
      </c>
      <c r="L358" s="624">
        <f t="shared" ca="1" si="90"/>
        <v>648.00171731224509</v>
      </c>
      <c r="M358" s="624">
        <f t="shared" ca="1" si="90"/>
        <v>2370.2413794863014</v>
      </c>
      <c r="O358" s="430"/>
    </row>
    <row r="359" spans="2:16" ht="15" customHeight="1" outlineLevel="1">
      <c r="B359" s="453" t="s">
        <v>61</v>
      </c>
      <c r="C359" s="402"/>
      <c r="D359" s="625"/>
      <c r="E359" s="625"/>
      <c r="F359" s="625"/>
      <c r="G359" s="625"/>
      <c r="H359" s="623">
        <f>H81</f>
        <v>8409.9990999999991</v>
      </c>
      <c r="I359" s="623">
        <f ca="1">SUM(I357:I358)</f>
        <v>0</v>
      </c>
      <c r="J359" s="623">
        <f t="shared" ref="J359:M359" ca="1" si="91">SUM(J357:J358)</f>
        <v>0</v>
      </c>
      <c r="K359" s="623">
        <f t="shared" ca="1" si="91"/>
        <v>0</v>
      </c>
      <c r="L359" s="623">
        <f t="shared" ca="1" si="91"/>
        <v>648.00171731224509</v>
      </c>
      <c r="M359" s="623">
        <f t="shared" ca="1" si="91"/>
        <v>3018.2430967985465</v>
      </c>
      <c r="O359" s="430"/>
    </row>
    <row r="360" spans="2:16" ht="15" customHeight="1" outlineLevel="1">
      <c r="D360" s="399"/>
      <c r="E360" s="399"/>
      <c r="F360" s="399"/>
      <c r="G360" s="399"/>
    </row>
    <row r="361" spans="2:16" ht="15" customHeight="1" outlineLevel="1">
      <c r="B361" s="453" t="s">
        <v>72</v>
      </c>
      <c r="C361" s="402"/>
      <c r="D361" s="625"/>
      <c r="E361" s="625"/>
      <c r="F361" s="626"/>
      <c r="G361" s="625"/>
      <c r="H361" s="438"/>
      <c r="I361" s="627">
        <f>Inputs!$F$60</f>
        <v>0.01</v>
      </c>
      <c r="J361" s="627">
        <f>I361</f>
        <v>0.01</v>
      </c>
      <c r="K361" s="627">
        <f>J361</f>
        <v>0.01</v>
      </c>
      <c r="L361" s="627">
        <f>K361</f>
        <v>0.01</v>
      </c>
      <c r="M361" s="627">
        <f>L361</f>
        <v>0.01</v>
      </c>
    </row>
    <row r="362" spans="2:16" ht="15" customHeight="1" outlineLevel="1">
      <c r="B362" s="453" t="s">
        <v>83</v>
      </c>
      <c r="D362" s="399"/>
      <c r="E362" s="400"/>
      <c r="F362" s="628"/>
      <c r="G362" s="629"/>
      <c r="I362" s="623">
        <f ca="1">AVERAGE(I357,I359)*I361</f>
        <v>42.049995499999994</v>
      </c>
      <c r="J362" s="623">
        <f t="shared" ref="J362:M362" ca="1" si="92">AVERAGE(J357,J359)*J361</f>
        <v>0</v>
      </c>
      <c r="K362" s="623">
        <f t="shared" ca="1" si="92"/>
        <v>0</v>
      </c>
      <c r="L362" s="623">
        <f t="shared" ca="1" si="92"/>
        <v>3.2400085865612254</v>
      </c>
      <c r="M362" s="623">
        <f t="shared" ca="1" si="92"/>
        <v>18.331224070553958</v>
      </c>
      <c r="O362" s="430"/>
      <c r="P362" s="420"/>
    </row>
    <row r="363" spans="2:16" ht="15" customHeight="1" outlineLevel="1">
      <c r="D363" s="399"/>
      <c r="E363" s="399"/>
      <c r="F363" s="399"/>
      <c r="G363" s="399"/>
    </row>
    <row r="364" spans="2:16" ht="15" customHeight="1" outlineLevel="1">
      <c r="B364" s="392"/>
      <c r="C364" s="392"/>
      <c r="D364" s="392"/>
      <c r="E364" s="392"/>
      <c r="F364" s="392"/>
      <c r="G364" s="392"/>
      <c r="H364" s="392"/>
      <c r="I364" s="392"/>
      <c r="J364" s="392"/>
      <c r="K364" s="392"/>
      <c r="L364" s="392"/>
      <c r="M364" s="392"/>
    </row>
    <row r="365" spans="2:16" ht="15" customHeight="1" outlineLevel="1"/>
    <row r="366" spans="2:16" ht="15" customHeight="1" outlineLevel="1"/>
    <row r="367" spans="2:16" ht="15" customHeight="1" outlineLevel="1">
      <c r="B367" s="555" t="s">
        <v>82</v>
      </c>
      <c r="C367" s="402"/>
      <c r="D367" s="404"/>
      <c r="E367" s="404"/>
      <c r="F367" s="404"/>
      <c r="G367" s="404"/>
      <c r="H367" s="404"/>
      <c r="I367" s="421"/>
      <c r="J367" s="421"/>
      <c r="K367" s="421"/>
      <c r="L367" s="421"/>
      <c r="M367" s="421"/>
    </row>
    <row r="368" spans="2:16" ht="15" customHeight="1" outlineLevel="1">
      <c r="B368" s="555"/>
      <c r="C368" s="402"/>
      <c r="D368" s="404"/>
      <c r="E368" s="404"/>
      <c r="F368" s="404"/>
      <c r="G368" s="404"/>
      <c r="H368" s="404"/>
      <c r="I368" s="421"/>
      <c r="J368" s="421"/>
      <c r="K368" s="421"/>
      <c r="L368" s="421"/>
      <c r="M368" s="421"/>
    </row>
    <row r="369" spans="1:16" ht="15" customHeight="1" outlineLevel="1">
      <c r="B369" s="453" t="s">
        <v>63</v>
      </c>
      <c r="C369" s="402"/>
      <c r="D369" s="404"/>
      <c r="E369" s="404"/>
      <c r="F369" s="404"/>
      <c r="G369" s="404"/>
      <c r="H369" s="480"/>
      <c r="I369" s="623">
        <f>H371</f>
        <v>20000</v>
      </c>
      <c r="J369" s="623">
        <f t="shared" ref="J369:M369" si="93">I371</f>
        <v>16000</v>
      </c>
      <c r="K369" s="623">
        <f t="shared" si="93"/>
        <v>12000</v>
      </c>
      <c r="L369" s="623">
        <f t="shared" si="93"/>
        <v>8000</v>
      </c>
      <c r="M369" s="623">
        <f t="shared" si="93"/>
        <v>4000</v>
      </c>
      <c r="O369" s="430"/>
    </row>
    <row r="370" spans="1:16" ht="15" customHeight="1" outlineLevel="1">
      <c r="B370" s="453" t="s">
        <v>43</v>
      </c>
      <c r="C370" s="402"/>
      <c r="D370" s="404"/>
      <c r="E370" s="404"/>
      <c r="F370" s="404"/>
      <c r="G370" s="404"/>
      <c r="H370" s="616"/>
      <c r="I370" s="485">
        <f>Inputs!H44</f>
        <v>-4000</v>
      </c>
      <c r="J370" s="485">
        <f>Inputs!I44</f>
        <v>-4000</v>
      </c>
      <c r="K370" s="485">
        <f>Inputs!J44</f>
        <v>-4000</v>
      </c>
      <c r="L370" s="485">
        <f>Inputs!K44</f>
        <v>-4000</v>
      </c>
      <c r="M370" s="485">
        <f>Inputs!L44</f>
        <v>-4000</v>
      </c>
    </row>
    <row r="371" spans="1:16" ht="15" customHeight="1" outlineLevel="1">
      <c r="B371" s="453" t="s">
        <v>61</v>
      </c>
      <c r="C371" s="402"/>
      <c r="D371" s="404"/>
      <c r="E371" s="404"/>
      <c r="F371" s="404"/>
      <c r="G371" s="404"/>
      <c r="H371" s="623">
        <f>H99</f>
        <v>20000</v>
      </c>
      <c r="I371" s="623">
        <f>SUM(I369:I370)</f>
        <v>16000</v>
      </c>
      <c r="J371" s="623">
        <f t="shared" ref="J371:M371" si="94">SUM(J369:J370)</f>
        <v>12000</v>
      </c>
      <c r="K371" s="623">
        <f t="shared" si="94"/>
        <v>8000</v>
      </c>
      <c r="L371" s="623">
        <f t="shared" si="94"/>
        <v>4000</v>
      </c>
      <c r="M371" s="623">
        <f t="shared" si="94"/>
        <v>0</v>
      </c>
      <c r="O371" s="430"/>
    </row>
    <row r="372" spans="1:16" ht="15" customHeight="1" outlineLevel="1"/>
    <row r="373" spans="1:16" ht="15" customHeight="1" outlineLevel="1">
      <c r="B373" s="453" t="s">
        <v>72</v>
      </c>
      <c r="C373" s="402"/>
      <c r="D373" s="404"/>
      <c r="E373" s="404"/>
      <c r="F373" s="404"/>
      <c r="G373" s="404"/>
      <c r="H373" s="438"/>
      <c r="I373" s="627">
        <f>Inputs!$F$62</f>
        <v>0.06</v>
      </c>
      <c r="J373" s="627">
        <f>I373</f>
        <v>0.06</v>
      </c>
      <c r="K373" s="627">
        <f>J373</f>
        <v>0.06</v>
      </c>
      <c r="L373" s="627">
        <f>K373</f>
        <v>0.06</v>
      </c>
      <c r="M373" s="627">
        <f>L373</f>
        <v>0.06</v>
      </c>
    </row>
    <row r="374" spans="1:16" ht="15" customHeight="1" outlineLevel="1">
      <c r="B374" s="453" t="s">
        <v>71</v>
      </c>
      <c r="I374" s="623">
        <f>AVERAGE(I369,I371)*I373</f>
        <v>1080</v>
      </c>
      <c r="J374" s="623">
        <f t="shared" ref="J374:M374" si="95">AVERAGE(J369,J371)*J373</f>
        <v>840</v>
      </c>
      <c r="K374" s="623">
        <f t="shared" si="95"/>
        <v>600</v>
      </c>
      <c r="L374" s="623">
        <f t="shared" si="95"/>
        <v>360</v>
      </c>
      <c r="M374" s="623">
        <f t="shared" si="95"/>
        <v>120</v>
      </c>
      <c r="O374" s="430"/>
    </row>
    <row r="375" spans="1:16" ht="15" customHeight="1" outlineLevel="1"/>
    <row r="376" spans="1:16" ht="15" customHeight="1" outlineLevel="1"/>
    <row r="377" spans="1:16" ht="15" customHeight="1" outlineLevel="1"/>
    <row r="378" spans="1:16" s="412" customFormat="1" ht="15" customHeight="1" outlineLevel="1">
      <c r="B378" s="588"/>
      <c r="C378" s="482"/>
      <c r="D378" s="484"/>
      <c r="E378" s="484"/>
      <c r="F378" s="484"/>
      <c r="G378" s="484"/>
      <c r="H378" s="484"/>
      <c r="I378" s="589"/>
      <c r="J378" s="589"/>
      <c r="K378" s="589"/>
      <c r="L378" s="589"/>
      <c r="M378" s="589"/>
      <c r="N378" s="464"/>
      <c r="O378" s="464"/>
    </row>
    <row r="379" spans="1:16" s="412" customFormat="1" ht="15" customHeight="1">
      <c r="B379" s="417"/>
      <c r="C379" s="402"/>
      <c r="D379" s="404"/>
      <c r="E379" s="404"/>
      <c r="F379" s="404"/>
      <c r="G379" s="404"/>
      <c r="H379" s="404"/>
      <c r="I379" s="421"/>
      <c r="J379" s="421"/>
      <c r="K379" s="421"/>
      <c r="L379" s="421"/>
      <c r="M379" s="421"/>
      <c r="N379" s="464"/>
      <c r="O379" s="464"/>
    </row>
    <row r="380" spans="1:16" s="412" customFormat="1" ht="15" customHeight="1">
      <c r="A380" s="412" t="s">
        <v>0</v>
      </c>
      <c r="B380" s="408" t="s">
        <v>81</v>
      </c>
      <c r="C380" s="409"/>
      <c r="D380" s="516"/>
      <c r="E380" s="516"/>
      <c r="F380" s="411"/>
      <c r="G380" s="411"/>
      <c r="H380" s="411"/>
      <c r="I380" s="517"/>
      <c r="J380" s="518"/>
      <c r="K380" s="518"/>
      <c r="L380" s="518"/>
      <c r="M380" s="518"/>
      <c r="N380" s="525"/>
      <c r="O380" s="525"/>
      <c r="P380" s="605"/>
    </row>
    <row r="381" spans="1:16" s="412" customFormat="1" ht="15" customHeight="1" outlineLevel="1">
      <c r="B381" s="413"/>
      <c r="C381" s="402"/>
      <c r="D381" s="414"/>
      <c r="E381" s="414"/>
      <c r="F381" s="415"/>
      <c r="G381" s="415"/>
      <c r="H381" s="415"/>
      <c r="I381" s="415"/>
      <c r="J381" s="415"/>
      <c r="K381" s="415"/>
      <c r="L381" s="415"/>
      <c r="M381" s="415"/>
      <c r="N381" s="525"/>
      <c r="O381" s="525"/>
    </row>
    <row r="382" spans="1:16" s="412" customFormat="1" ht="15" customHeight="1" outlineLevel="1" thickBot="1">
      <c r="B382" s="417" t="s">
        <v>15</v>
      </c>
      <c r="C382" s="402"/>
      <c r="D382" s="404"/>
      <c r="E382" s="404"/>
      <c r="F382" s="404"/>
      <c r="G382" s="404"/>
      <c r="H382" s="418">
        <f t="shared" ref="H382:M382" si="96">H$4</f>
        <v>2022</v>
      </c>
      <c r="I382" s="419">
        <f t="shared" si="96"/>
        <v>2023</v>
      </c>
      <c r="J382" s="419">
        <f t="shared" si="96"/>
        <v>2024</v>
      </c>
      <c r="K382" s="419">
        <f t="shared" si="96"/>
        <v>2025</v>
      </c>
      <c r="L382" s="419">
        <f t="shared" si="96"/>
        <v>2026</v>
      </c>
      <c r="M382" s="419">
        <f t="shared" si="96"/>
        <v>2027</v>
      </c>
      <c r="N382" s="525"/>
      <c r="O382" s="525"/>
      <c r="P382" s="407"/>
    </row>
    <row r="383" spans="1:16" ht="15" customHeight="1" outlineLevel="1">
      <c r="A383" s="385"/>
      <c r="B383" s="417" t="str">
        <f>B$5</f>
        <v>Model Running: Base Case Drivers</v>
      </c>
      <c r="C383" s="402"/>
      <c r="D383" s="404"/>
      <c r="E383" s="404"/>
      <c r="F383" s="404"/>
      <c r="G383" s="404"/>
      <c r="H383" s="404"/>
      <c r="I383" s="421"/>
      <c r="J383" s="421"/>
      <c r="K383" s="421"/>
      <c r="L383" s="421"/>
      <c r="M383" s="421"/>
      <c r="P383" s="407"/>
    </row>
    <row r="384" spans="1:16" ht="15" customHeight="1" outlineLevel="1">
      <c r="A384" s="385"/>
      <c r="B384" s="417"/>
      <c r="C384" s="402"/>
      <c r="D384" s="404"/>
      <c r="E384" s="404"/>
      <c r="F384" s="404"/>
      <c r="G384" s="404"/>
      <c r="H384" s="404"/>
      <c r="I384" s="421"/>
      <c r="J384" s="421"/>
      <c r="K384" s="421"/>
      <c r="L384" s="421"/>
      <c r="M384" s="421"/>
      <c r="P384" s="407"/>
    </row>
    <row r="385" spans="1:16" ht="15" customHeight="1" outlineLevel="1">
      <c r="A385" s="385"/>
      <c r="B385" s="417"/>
      <c r="C385" s="402"/>
      <c r="D385" s="404"/>
      <c r="E385" s="404"/>
      <c r="F385" s="404"/>
      <c r="G385" s="404"/>
      <c r="H385" s="404"/>
      <c r="I385" s="421"/>
      <c r="J385" s="421"/>
      <c r="K385" s="421"/>
      <c r="L385" s="421"/>
      <c r="M385" s="421"/>
      <c r="P385" s="407"/>
    </row>
    <row r="386" spans="1:16" ht="15" customHeight="1" outlineLevel="1">
      <c r="B386" s="555" t="s">
        <v>80</v>
      </c>
      <c r="C386" s="402"/>
      <c r="H386" s="404"/>
      <c r="I386" s="421"/>
      <c r="J386" s="421"/>
      <c r="K386" s="421"/>
      <c r="L386" s="421"/>
      <c r="M386" s="421"/>
    </row>
    <row r="387" spans="1:16" ht="15" customHeight="1" outlineLevel="1">
      <c r="B387" s="555"/>
      <c r="C387" s="402"/>
      <c r="H387" s="404"/>
      <c r="I387" s="421"/>
      <c r="J387" s="421"/>
      <c r="K387" s="421"/>
      <c r="L387" s="421"/>
      <c r="M387" s="421"/>
    </row>
    <row r="388" spans="1:16" ht="15" customHeight="1" outlineLevel="1">
      <c r="B388" s="453" t="s">
        <v>79</v>
      </c>
      <c r="C388" s="402"/>
      <c r="H388" s="480"/>
      <c r="I388" s="623">
        <f>I357</f>
        <v>8409.9990999999991</v>
      </c>
      <c r="J388" s="623">
        <f t="shared" ref="J388:M388" ca="1" si="97">J357</f>
        <v>0</v>
      </c>
      <c r="K388" s="623">
        <f t="shared" ca="1" si="97"/>
        <v>0</v>
      </c>
      <c r="L388" s="623">
        <f t="shared" ca="1" si="97"/>
        <v>0</v>
      </c>
      <c r="M388" s="623">
        <f t="shared" ca="1" si="97"/>
        <v>648.00171731224509</v>
      </c>
      <c r="O388" s="430"/>
    </row>
    <row r="389" spans="1:16" ht="15" customHeight="1" outlineLevel="1">
      <c r="B389" s="453" t="s">
        <v>78</v>
      </c>
      <c r="C389" s="402"/>
      <c r="D389" s="404"/>
      <c r="E389" s="404"/>
      <c r="F389" s="404"/>
      <c r="G389" s="404"/>
      <c r="H389" s="480"/>
      <c r="I389" s="623">
        <f ca="1">I51</f>
        <v>16587.331861020353</v>
      </c>
      <c r="J389" s="623">
        <f t="shared" ref="J389:M389" ca="1" si="98">J51</f>
        <v>16680.396342495853</v>
      </c>
      <c r="K389" s="623">
        <f t="shared" ca="1" si="98"/>
        <v>16856.460466188822</v>
      </c>
      <c r="L389" s="623">
        <f t="shared" ca="1" si="98"/>
        <v>17009.384942480039</v>
      </c>
      <c r="M389" s="623">
        <f t="shared" ca="1" si="98"/>
        <v>16934.493183661154</v>
      </c>
      <c r="O389" s="430"/>
    </row>
    <row r="390" spans="1:16" ht="15" customHeight="1" outlineLevel="1">
      <c r="B390" s="453" t="s">
        <v>77</v>
      </c>
      <c r="C390" s="402"/>
      <c r="D390" s="404"/>
      <c r="E390" s="404"/>
      <c r="F390" s="404"/>
      <c r="G390" s="404"/>
      <c r="H390" s="480"/>
      <c r="I390" s="623">
        <f>I56</f>
        <v>-25475</v>
      </c>
      <c r="J390" s="623">
        <f t="shared" ref="J390:M390" si="99">J56</f>
        <v>-7050</v>
      </c>
      <c r="K390" s="623">
        <f t="shared" si="99"/>
        <v>-7275</v>
      </c>
      <c r="L390" s="623">
        <f t="shared" si="99"/>
        <v>-7200</v>
      </c>
      <c r="M390" s="623">
        <f t="shared" si="99"/>
        <v>-7687.5</v>
      </c>
      <c r="O390" s="430"/>
    </row>
    <row r="391" spans="1:16" ht="15" customHeight="1" outlineLevel="1">
      <c r="B391" s="453" t="s">
        <v>76</v>
      </c>
      <c r="I391" s="623">
        <f>I60</f>
        <v>-4000</v>
      </c>
      <c r="J391" s="623">
        <f t="shared" ref="J391:M391" si="100">J60</f>
        <v>-4000</v>
      </c>
      <c r="K391" s="623">
        <f t="shared" si="100"/>
        <v>-4000</v>
      </c>
      <c r="L391" s="623">
        <f t="shared" si="100"/>
        <v>-4000</v>
      </c>
      <c r="M391" s="623">
        <f t="shared" si="100"/>
        <v>-4000</v>
      </c>
      <c r="O391" s="430"/>
    </row>
    <row r="392" spans="1:16" ht="15" customHeight="1" outlineLevel="1">
      <c r="B392" s="453" t="s">
        <v>75</v>
      </c>
      <c r="I392" s="623">
        <f>I62</f>
        <v>-1000</v>
      </c>
      <c r="J392" s="623">
        <f t="shared" ref="J392:M392" si="101">J62</f>
        <v>-1000</v>
      </c>
      <c r="K392" s="623">
        <f t="shared" si="101"/>
        <v>-1000</v>
      </c>
      <c r="L392" s="623">
        <f t="shared" si="101"/>
        <v>-1000</v>
      </c>
      <c r="M392" s="623">
        <f t="shared" si="101"/>
        <v>-1000</v>
      </c>
      <c r="O392" s="430"/>
    </row>
    <row r="393" spans="1:16" ht="15" customHeight="1" outlineLevel="1">
      <c r="B393" s="453" t="s">
        <v>62</v>
      </c>
      <c r="I393" s="624">
        <f ca="1">I432*-1</f>
        <v>-2051.1640959009196</v>
      </c>
      <c r="J393" s="624">
        <f t="shared" ref="J393:M393" ca="1" si="102">J432*-1</f>
        <v>-1950.3823413514328</v>
      </c>
      <c r="K393" s="624">
        <f t="shared" ca="1" si="102"/>
        <v>-1952.8895529433248</v>
      </c>
      <c r="L393" s="624">
        <f t="shared" ca="1" si="102"/>
        <v>-1941.1350046771427</v>
      </c>
      <c r="M393" s="624">
        <f t="shared" ca="1" si="102"/>
        <v>-1876.7518041748526</v>
      </c>
      <c r="O393" s="430"/>
    </row>
    <row r="394" spans="1:16" ht="15" customHeight="1" outlineLevel="1">
      <c r="B394" s="453" t="s">
        <v>74</v>
      </c>
      <c r="H394" s="389"/>
      <c r="I394" s="623">
        <f ca="1">SUM(I388:I393)</f>
        <v>-7528.8331348805696</v>
      </c>
      <c r="J394" s="623">
        <f t="shared" ref="J394:M394" ca="1" si="103">SUM(J388:J393)</f>
        <v>2680.01400114442</v>
      </c>
      <c r="K394" s="623">
        <f t="shared" ca="1" si="103"/>
        <v>2628.5709132454976</v>
      </c>
      <c r="L394" s="623">
        <f t="shared" ca="1" si="103"/>
        <v>2868.2499378028965</v>
      </c>
      <c r="M394" s="623">
        <f t="shared" ca="1" si="103"/>
        <v>3018.2430967985447</v>
      </c>
      <c r="O394" s="430"/>
    </row>
    <row r="395" spans="1:16" ht="15" customHeight="1" outlineLevel="1"/>
    <row r="396" spans="1:16" ht="15" customHeight="1" outlineLevel="1">
      <c r="B396" s="392"/>
      <c r="C396" s="392"/>
      <c r="D396" s="392"/>
      <c r="E396" s="392"/>
      <c r="F396" s="392"/>
      <c r="G396" s="392"/>
      <c r="H396" s="392"/>
      <c r="I396" s="392"/>
      <c r="J396" s="392"/>
      <c r="K396" s="392"/>
      <c r="L396" s="392"/>
      <c r="M396" s="392"/>
    </row>
    <row r="397" spans="1:16" ht="15" customHeight="1" outlineLevel="1"/>
    <row r="398" spans="1:16" ht="15" customHeight="1" outlineLevel="1"/>
    <row r="399" spans="1:16" ht="15" customHeight="1" outlineLevel="1">
      <c r="B399" s="555" t="s">
        <v>73</v>
      </c>
      <c r="C399" s="402"/>
      <c r="H399" s="404"/>
      <c r="I399" s="421"/>
      <c r="J399" s="421"/>
      <c r="K399" s="421"/>
      <c r="L399" s="421"/>
      <c r="M399" s="421"/>
    </row>
    <row r="400" spans="1:16" ht="15" customHeight="1" outlineLevel="1">
      <c r="B400" s="555"/>
      <c r="C400" s="402"/>
      <c r="H400" s="404"/>
      <c r="I400" s="421"/>
      <c r="J400" s="421"/>
      <c r="K400" s="421"/>
      <c r="L400" s="421"/>
      <c r="M400" s="421"/>
    </row>
    <row r="401" spans="1:16" ht="15" customHeight="1" outlineLevel="1">
      <c r="B401" s="453" t="s">
        <v>63</v>
      </c>
      <c r="C401" s="402"/>
      <c r="D401" s="404"/>
      <c r="E401" s="404"/>
      <c r="F401" s="404"/>
      <c r="G401" s="404"/>
      <c r="H401" s="480"/>
      <c r="I401" s="623">
        <f>H403</f>
        <v>0</v>
      </c>
      <c r="J401" s="623">
        <f t="shared" ref="J401:M401" ca="1" si="104">I403</f>
        <v>7528.8331348805696</v>
      </c>
      <c r="K401" s="623">
        <f t="shared" ca="1" si="104"/>
        <v>4848.8191337361495</v>
      </c>
      <c r="L401" s="623">
        <f t="shared" ca="1" si="104"/>
        <v>2220.2482204906519</v>
      </c>
      <c r="M401" s="623">
        <f t="shared" ca="1" si="104"/>
        <v>0</v>
      </c>
      <c r="O401" s="430"/>
    </row>
    <row r="402" spans="1:16" ht="15" customHeight="1" outlineLevel="1">
      <c r="B402" s="453" t="s">
        <v>43</v>
      </c>
      <c r="C402" s="402"/>
      <c r="D402" s="404"/>
      <c r="E402" s="404"/>
      <c r="F402" s="404"/>
      <c r="G402" s="404"/>
      <c r="H402" s="616"/>
      <c r="I402" s="624">
        <f ca="1">-MIN(I394,I401)</f>
        <v>7528.8331348805696</v>
      </c>
      <c r="J402" s="624">
        <f t="shared" ref="J402:M402" ca="1" si="105">-MIN(J394,J401)</f>
        <v>-2680.01400114442</v>
      </c>
      <c r="K402" s="624">
        <f t="shared" ca="1" si="105"/>
        <v>-2628.5709132454976</v>
      </c>
      <c r="L402" s="624">
        <f t="shared" ca="1" si="105"/>
        <v>-2220.2482204906519</v>
      </c>
      <c r="M402" s="624">
        <f t="shared" ca="1" si="105"/>
        <v>0</v>
      </c>
      <c r="O402" s="430"/>
    </row>
    <row r="403" spans="1:16" ht="15" customHeight="1" outlineLevel="1">
      <c r="B403" s="453" t="s">
        <v>61</v>
      </c>
      <c r="C403" s="402"/>
      <c r="D403" s="404"/>
      <c r="E403" s="404"/>
      <c r="F403" s="404"/>
      <c r="G403" s="404"/>
      <c r="H403" s="623">
        <f>H95</f>
        <v>0</v>
      </c>
      <c r="I403" s="623">
        <f ca="1">SUM(I401:I402)</f>
        <v>7528.8331348805696</v>
      </c>
      <c r="J403" s="623">
        <f t="shared" ref="J403:M403" ca="1" si="106">SUM(J401:J402)</f>
        <v>4848.8191337361495</v>
      </c>
      <c r="K403" s="623">
        <f t="shared" ca="1" si="106"/>
        <v>2220.2482204906519</v>
      </c>
      <c r="L403" s="623">
        <f t="shared" ca="1" si="106"/>
        <v>0</v>
      </c>
      <c r="M403" s="623">
        <f t="shared" ca="1" si="106"/>
        <v>0</v>
      </c>
      <c r="O403" s="430"/>
    </row>
    <row r="404" spans="1:16" ht="15" customHeight="1" outlineLevel="1">
      <c r="B404" s="453"/>
      <c r="C404" s="402"/>
      <c r="D404" s="404"/>
      <c r="E404" s="630"/>
      <c r="F404" s="630"/>
      <c r="G404" s="630"/>
      <c r="H404" s="480"/>
      <c r="I404" s="480"/>
      <c r="J404" s="480"/>
      <c r="K404" s="480"/>
      <c r="L404" s="480"/>
      <c r="M404" s="480"/>
    </row>
    <row r="405" spans="1:16" ht="15" customHeight="1" outlineLevel="1">
      <c r="B405" s="453" t="s">
        <v>72</v>
      </c>
      <c r="C405" s="402"/>
      <c r="D405" s="404"/>
      <c r="E405" s="630"/>
      <c r="F405" s="631"/>
      <c r="G405" s="630"/>
      <c r="H405" s="438"/>
      <c r="I405" s="627">
        <f>Inputs!$F$61</f>
        <v>0.05</v>
      </c>
      <c r="J405" s="627">
        <f>I405</f>
        <v>0.05</v>
      </c>
      <c r="K405" s="627">
        <f>J405</f>
        <v>0.05</v>
      </c>
      <c r="L405" s="627">
        <f>K405</f>
        <v>0.05</v>
      </c>
      <c r="M405" s="627">
        <f>L405</f>
        <v>0.05</v>
      </c>
    </row>
    <row r="406" spans="1:16" ht="15" customHeight="1" outlineLevel="1">
      <c r="B406" s="453" t="s">
        <v>71</v>
      </c>
      <c r="E406" s="400"/>
      <c r="F406" s="628"/>
      <c r="G406" s="629"/>
      <c r="I406" s="623">
        <f ca="1">AVERAGE(I401,I403)*I405</f>
        <v>188.22082837201424</v>
      </c>
      <c r="J406" s="623">
        <f t="shared" ref="J406:M406" ca="1" si="107">AVERAGE(J401,J403)*J405</f>
        <v>309.44130671541802</v>
      </c>
      <c r="K406" s="623">
        <f t="shared" ca="1" si="107"/>
        <v>176.72668385567005</v>
      </c>
      <c r="L406" s="623">
        <f t="shared" ca="1" si="107"/>
        <v>55.506205512266298</v>
      </c>
      <c r="M406" s="623">
        <f t="shared" ca="1" si="107"/>
        <v>0</v>
      </c>
      <c r="O406" s="430"/>
      <c r="P406" s="420"/>
    </row>
    <row r="407" spans="1:16" ht="15" customHeight="1" outlineLevel="1">
      <c r="B407" s="392"/>
      <c r="C407" s="392"/>
      <c r="D407" s="392"/>
      <c r="E407" s="392"/>
      <c r="F407" s="392"/>
      <c r="G407" s="392"/>
      <c r="H407" s="392"/>
      <c r="I407" s="392"/>
      <c r="J407" s="392"/>
      <c r="K407" s="392"/>
      <c r="L407" s="392"/>
      <c r="M407" s="392"/>
    </row>
    <row r="408" spans="1:16" ht="15" customHeight="1" outlineLevel="1"/>
    <row r="409" spans="1:16" ht="15" customHeight="1" outlineLevel="1">
      <c r="B409" s="453"/>
      <c r="I409" s="480"/>
      <c r="J409" s="480"/>
      <c r="K409" s="480"/>
      <c r="L409" s="480"/>
      <c r="M409" s="480"/>
    </row>
    <row r="410" spans="1:16" ht="15" customHeight="1" outlineLevel="1">
      <c r="B410" s="453" t="s">
        <v>71</v>
      </c>
      <c r="I410" s="623">
        <f ca="1">I406+I374</f>
        <v>1268.2208283720142</v>
      </c>
      <c r="J410" s="623">
        <f t="shared" ref="J410:M410" ca="1" si="108">J406+J374</f>
        <v>1149.441306715418</v>
      </c>
      <c r="K410" s="623">
        <f t="shared" ca="1" si="108"/>
        <v>776.72668385566999</v>
      </c>
      <c r="L410" s="623">
        <f t="shared" ca="1" si="108"/>
        <v>415.50620551226632</v>
      </c>
      <c r="M410" s="623">
        <f t="shared" ca="1" si="108"/>
        <v>120</v>
      </c>
      <c r="O410" s="430"/>
    </row>
    <row r="411" spans="1:16" ht="15" customHeight="1" outlineLevel="1">
      <c r="B411" s="453" t="s">
        <v>70</v>
      </c>
      <c r="I411" s="623">
        <f ca="1">I362*-1</f>
        <v>-42.049995499999994</v>
      </c>
      <c r="J411" s="623">
        <f t="shared" ref="J411:M411" ca="1" si="109">J362*-1</f>
        <v>0</v>
      </c>
      <c r="K411" s="623">
        <f t="shared" ca="1" si="109"/>
        <v>0</v>
      </c>
      <c r="L411" s="623">
        <f t="shared" ca="1" si="109"/>
        <v>-3.2400085865612254</v>
      </c>
      <c r="M411" s="623">
        <f t="shared" ca="1" si="109"/>
        <v>-18.331224070553958</v>
      </c>
      <c r="O411" s="430"/>
    </row>
    <row r="412" spans="1:16" ht="15" customHeight="1" outlineLevel="1" thickBot="1">
      <c r="B412" s="453" t="s">
        <v>69</v>
      </c>
      <c r="I412" s="632">
        <f ca="1">SUM(I410:I411)</f>
        <v>1226.1708328720142</v>
      </c>
      <c r="J412" s="632">
        <f t="shared" ref="J412:M412" ca="1" si="110">SUM(J410:J411)</f>
        <v>1149.441306715418</v>
      </c>
      <c r="K412" s="632">
        <f t="shared" ca="1" si="110"/>
        <v>776.72668385566999</v>
      </c>
      <c r="L412" s="632">
        <f t="shared" ca="1" si="110"/>
        <v>412.26619692570512</v>
      </c>
      <c r="M412" s="632">
        <f t="shared" ca="1" si="110"/>
        <v>101.66877592944604</v>
      </c>
      <c r="O412" s="430"/>
    </row>
    <row r="413" spans="1:16" ht="15" customHeight="1" outlineLevel="1">
      <c r="A413" s="385"/>
      <c r="B413" s="417"/>
      <c r="C413" s="402"/>
      <c r="D413" s="404"/>
      <c r="E413" s="404"/>
      <c r="F413" s="404"/>
      <c r="G413" s="404"/>
      <c r="H413" s="404"/>
      <c r="I413" s="421"/>
      <c r="J413" s="421"/>
      <c r="K413" s="421"/>
      <c r="L413" s="421"/>
      <c r="M413" s="421"/>
      <c r="P413" s="407"/>
    </row>
    <row r="414" spans="1:16" ht="15" customHeight="1" outlineLevel="1">
      <c r="A414" s="385"/>
      <c r="B414" s="417"/>
      <c r="C414" s="402"/>
      <c r="D414" s="404"/>
      <c r="E414" s="404"/>
      <c r="F414" s="404"/>
      <c r="G414" s="404"/>
      <c r="H414" s="404"/>
      <c r="I414" s="421"/>
      <c r="J414" s="421"/>
      <c r="K414" s="421"/>
      <c r="L414" s="421"/>
      <c r="M414" s="421"/>
      <c r="P414" s="407"/>
    </row>
    <row r="415" spans="1:16" s="412" customFormat="1" ht="15" customHeight="1" outlineLevel="1">
      <c r="B415" s="417"/>
      <c r="C415" s="402"/>
      <c r="D415" s="404"/>
      <c r="E415" s="404"/>
      <c r="F415" s="404"/>
      <c r="G415" s="404"/>
      <c r="H415" s="404"/>
      <c r="I415" s="421"/>
      <c r="J415" s="421"/>
      <c r="K415" s="421"/>
      <c r="L415" s="421"/>
      <c r="M415" s="421"/>
      <c r="N415" s="464"/>
      <c r="O415" s="464"/>
    </row>
    <row r="416" spans="1:16" s="412" customFormat="1" ht="15" customHeight="1" outlineLevel="1">
      <c r="B416" s="588"/>
      <c r="C416" s="482"/>
      <c r="D416" s="484"/>
      <c r="E416" s="484"/>
      <c r="F416" s="484"/>
      <c r="G416" s="484"/>
      <c r="H416" s="484"/>
      <c r="I416" s="589"/>
      <c r="J416" s="589"/>
      <c r="K416" s="589"/>
      <c r="L416" s="589"/>
      <c r="M416" s="589"/>
      <c r="N416" s="464"/>
      <c r="O416" s="464"/>
    </row>
    <row r="417" spans="1:16" s="412" customFormat="1" ht="15" customHeight="1">
      <c r="B417" s="417"/>
      <c r="C417" s="402"/>
      <c r="D417" s="404"/>
      <c r="E417" s="404"/>
      <c r="F417" s="404"/>
      <c r="G417" s="404"/>
      <c r="H417" s="404"/>
      <c r="I417" s="421"/>
      <c r="J417" s="421"/>
      <c r="K417" s="421"/>
      <c r="L417" s="421"/>
      <c r="M417" s="421"/>
      <c r="N417" s="464"/>
      <c r="O417" s="464"/>
    </row>
    <row r="418" spans="1:16" s="412" customFormat="1" ht="15" customHeight="1">
      <c r="A418" s="412" t="s">
        <v>0</v>
      </c>
      <c r="B418" s="408" t="s">
        <v>68</v>
      </c>
      <c r="C418" s="409"/>
      <c r="D418" s="516"/>
      <c r="E418" s="516"/>
      <c r="F418" s="411"/>
      <c r="G418" s="411"/>
      <c r="H418" s="411"/>
      <c r="I418" s="517"/>
      <c r="J418" s="518"/>
      <c r="K418" s="518"/>
      <c r="L418" s="518"/>
      <c r="M418" s="518"/>
      <c r="N418" s="525"/>
      <c r="O418" s="525"/>
      <c r="P418" s="605"/>
    </row>
    <row r="419" spans="1:16" s="412" customFormat="1" ht="15" customHeight="1" outlineLevel="1">
      <c r="B419" s="413"/>
      <c r="C419" s="402"/>
      <c r="D419" s="414"/>
      <c r="E419" s="414"/>
      <c r="F419" s="415"/>
      <c r="G419" s="415"/>
      <c r="H419" s="415"/>
      <c r="I419" s="415"/>
      <c r="J419" s="415"/>
      <c r="K419" s="415"/>
      <c r="L419" s="415"/>
      <c r="M419" s="415"/>
      <c r="N419" s="525"/>
      <c r="O419" s="525"/>
    </row>
    <row r="420" spans="1:16" s="412" customFormat="1" ht="15" customHeight="1" outlineLevel="1" thickBot="1">
      <c r="B420" s="417" t="s">
        <v>15</v>
      </c>
      <c r="C420" s="402"/>
      <c r="D420" s="404"/>
      <c r="E420" s="404"/>
      <c r="F420" s="404"/>
      <c r="G420" s="404"/>
      <c r="H420" s="418">
        <f t="shared" ref="H420:M420" si="111">H$4</f>
        <v>2022</v>
      </c>
      <c r="I420" s="419">
        <f t="shared" si="111"/>
        <v>2023</v>
      </c>
      <c r="J420" s="419">
        <f t="shared" si="111"/>
        <v>2024</v>
      </c>
      <c r="K420" s="419">
        <f t="shared" si="111"/>
        <v>2025</v>
      </c>
      <c r="L420" s="419">
        <f t="shared" si="111"/>
        <v>2026</v>
      </c>
      <c r="M420" s="419">
        <f t="shared" si="111"/>
        <v>2027</v>
      </c>
      <c r="N420" s="525"/>
      <c r="O420" s="525"/>
      <c r="P420" s="407"/>
    </row>
    <row r="421" spans="1:16" ht="15" customHeight="1" outlineLevel="1">
      <c r="A421" s="385"/>
      <c r="B421" s="417" t="str">
        <f>B$5</f>
        <v>Model Running: Base Case Drivers</v>
      </c>
      <c r="C421" s="402"/>
      <c r="D421" s="404"/>
      <c r="E421" s="404"/>
      <c r="F421" s="404"/>
      <c r="G421" s="404"/>
      <c r="H421" s="404"/>
      <c r="I421" s="421"/>
      <c r="J421" s="421"/>
      <c r="K421" s="421"/>
      <c r="L421" s="421"/>
      <c r="M421" s="421"/>
      <c r="P421" s="407"/>
    </row>
    <row r="422" spans="1:16" s="412" customFormat="1" ht="15" customHeight="1" outlineLevel="1">
      <c r="B422" s="417"/>
      <c r="C422" s="402"/>
      <c r="D422" s="404"/>
      <c r="E422" s="404"/>
      <c r="F422" s="404"/>
      <c r="G422" s="404"/>
      <c r="H422" s="404"/>
      <c r="I422" s="421"/>
      <c r="J422" s="421"/>
      <c r="K422" s="421"/>
      <c r="L422" s="421"/>
      <c r="M422" s="421"/>
      <c r="N422" s="464"/>
      <c r="O422" s="464"/>
    </row>
    <row r="423" spans="1:16" s="412" customFormat="1" ht="15" customHeight="1" outlineLevel="1">
      <c r="B423" s="417"/>
      <c r="C423" s="402"/>
      <c r="D423" s="404"/>
      <c r="E423" s="404"/>
      <c r="F423" s="404"/>
      <c r="G423" s="404"/>
      <c r="H423" s="404"/>
      <c r="I423" s="421"/>
      <c r="J423" s="421"/>
      <c r="K423" s="421"/>
      <c r="L423" s="421"/>
      <c r="M423" s="421"/>
      <c r="N423" s="464"/>
      <c r="O423" s="464"/>
    </row>
    <row r="424" spans="1:16" ht="15" customHeight="1" outlineLevel="1">
      <c r="B424" s="555" t="s">
        <v>67</v>
      </c>
      <c r="C424" s="402"/>
      <c r="D424" s="404"/>
      <c r="E424" s="404"/>
      <c r="F424" s="404"/>
      <c r="G424" s="404"/>
      <c r="H424" s="404"/>
      <c r="I424" s="421"/>
      <c r="J424" s="421"/>
      <c r="K424" s="421"/>
      <c r="L424" s="421"/>
      <c r="M424" s="421"/>
    </row>
    <row r="425" spans="1:16" ht="15" customHeight="1" outlineLevel="1">
      <c r="B425" s="555"/>
      <c r="C425" s="402"/>
      <c r="D425" s="404"/>
      <c r="E425" s="404"/>
      <c r="F425" s="404"/>
      <c r="G425" s="404"/>
      <c r="H425" s="404"/>
      <c r="I425" s="421"/>
      <c r="J425" s="421"/>
      <c r="K425" s="421"/>
      <c r="L425" s="421"/>
      <c r="M425" s="421"/>
    </row>
    <row r="426" spans="1:16" ht="15" customHeight="1" outlineLevel="1">
      <c r="B426" s="453" t="s">
        <v>63</v>
      </c>
      <c r="C426" s="402"/>
      <c r="D426" s="404"/>
      <c r="E426" s="404"/>
      <c r="F426" s="404"/>
      <c r="G426" s="404"/>
      <c r="H426" s="480"/>
      <c r="I426" s="623">
        <f>H428</f>
        <v>38669.700000000084</v>
      </c>
      <c r="J426" s="623">
        <f t="shared" ref="J426:M426" si="112">I428</f>
        <v>37669.700000000084</v>
      </c>
      <c r="K426" s="623">
        <f t="shared" si="112"/>
        <v>36669.700000000084</v>
      </c>
      <c r="L426" s="623">
        <f t="shared" si="112"/>
        <v>35669.700000000084</v>
      </c>
      <c r="M426" s="623">
        <f t="shared" si="112"/>
        <v>34669.700000000084</v>
      </c>
      <c r="O426" s="430"/>
    </row>
    <row r="427" spans="1:16" ht="15" customHeight="1" outlineLevel="1">
      <c r="B427" s="453" t="s">
        <v>43</v>
      </c>
      <c r="C427" s="402"/>
      <c r="D427" s="404"/>
      <c r="E427" s="404"/>
      <c r="F427" s="404"/>
      <c r="G427" s="404"/>
      <c r="H427" s="616"/>
      <c r="I427" s="485">
        <f>Inputs!H45</f>
        <v>-1000</v>
      </c>
      <c r="J427" s="485">
        <f>Inputs!I45</f>
        <v>-1000</v>
      </c>
      <c r="K427" s="485">
        <f>Inputs!J45</f>
        <v>-1000</v>
      </c>
      <c r="L427" s="485">
        <f>Inputs!K45</f>
        <v>-1000</v>
      </c>
      <c r="M427" s="485">
        <f>Inputs!L45</f>
        <v>-1000</v>
      </c>
    </row>
    <row r="428" spans="1:16" ht="15" customHeight="1" outlineLevel="1">
      <c r="B428" s="453" t="s">
        <v>61</v>
      </c>
      <c r="C428" s="402"/>
      <c r="D428" s="404"/>
      <c r="E428" s="404"/>
      <c r="F428" s="404"/>
      <c r="G428" s="404"/>
      <c r="H428" s="623">
        <f>H105</f>
        <v>38669.700000000084</v>
      </c>
      <c r="I428" s="623">
        <f>SUM(I426:I427)</f>
        <v>37669.700000000084</v>
      </c>
      <c r="J428" s="623">
        <f t="shared" ref="J428:M428" si="113">SUM(J426:J427)</f>
        <v>36669.700000000084</v>
      </c>
      <c r="K428" s="623">
        <f t="shared" si="113"/>
        <v>35669.700000000084</v>
      </c>
      <c r="L428" s="623">
        <f t="shared" si="113"/>
        <v>34669.700000000084</v>
      </c>
      <c r="M428" s="623">
        <f t="shared" si="113"/>
        <v>33669.700000000084</v>
      </c>
      <c r="O428" s="430"/>
    </row>
    <row r="429" spans="1:16" ht="15" customHeight="1" outlineLevel="1"/>
    <row r="430" spans="1:16" ht="15" customHeight="1" outlineLevel="1">
      <c r="B430" s="453" t="s">
        <v>10</v>
      </c>
      <c r="C430" s="402"/>
      <c r="D430" s="404"/>
      <c r="E430" s="404"/>
      <c r="F430" s="404"/>
      <c r="G430" s="404"/>
      <c r="H430" s="480"/>
      <c r="I430" s="623">
        <f ca="1">I34</f>
        <v>10255.820479504599</v>
      </c>
      <c r="J430" s="623">
        <f t="shared" ref="J430:M430" ca="1" si="114">J34</f>
        <v>9751.9117067571642</v>
      </c>
      <c r="K430" s="623">
        <f t="shared" ca="1" si="114"/>
        <v>9764.4477647166241</v>
      </c>
      <c r="L430" s="623">
        <f t="shared" ca="1" si="114"/>
        <v>9705.6750233857128</v>
      </c>
      <c r="M430" s="623">
        <f t="shared" ca="1" si="114"/>
        <v>9383.7590208742622</v>
      </c>
      <c r="O430" s="430"/>
    </row>
    <row r="431" spans="1:16" ht="15" customHeight="1" outlineLevel="1">
      <c r="B431" s="453" t="s">
        <v>66</v>
      </c>
      <c r="C431" s="402"/>
      <c r="D431" s="404"/>
      <c r="E431" s="404"/>
      <c r="F431" s="404"/>
      <c r="G431" s="404"/>
      <c r="H431" s="480"/>
      <c r="I431" s="627">
        <f>Inputs!$F$56</f>
        <v>0.2</v>
      </c>
      <c r="J431" s="627">
        <f>I431</f>
        <v>0.2</v>
      </c>
      <c r="K431" s="627">
        <f>J431</f>
        <v>0.2</v>
      </c>
      <c r="L431" s="627">
        <f>K431</f>
        <v>0.2</v>
      </c>
      <c r="M431" s="627">
        <f>L431</f>
        <v>0.2</v>
      </c>
    </row>
    <row r="432" spans="1:16" ht="15" customHeight="1" outlineLevel="1">
      <c r="B432" s="453" t="s">
        <v>65</v>
      </c>
      <c r="C432" s="402"/>
      <c r="D432" s="404"/>
      <c r="E432" s="404"/>
      <c r="F432" s="404"/>
      <c r="G432" s="404"/>
      <c r="H432" s="480"/>
      <c r="I432" s="623">
        <f ca="1">MAX(I430,0)*I431</f>
        <v>2051.1640959009196</v>
      </c>
      <c r="J432" s="623">
        <f t="shared" ref="J432:M432" ca="1" si="115">MAX(J430,0)*J431</f>
        <v>1950.3823413514328</v>
      </c>
      <c r="K432" s="623">
        <f t="shared" ca="1" si="115"/>
        <v>1952.8895529433248</v>
      </c>
      <c r="L432" s="623">
        <f t="shared" ca="1" si="115"/>
        <v>1941.1350046771427</v>
      </c>
      <c r="M432" s="623">
        <f t="shared" ca="1" si="115"/>
        <v>1876.7518041748526</v>
      </c>
      <c r="O432" s="430"/>
    </row>
    <row r="433" spans="2:15" ht="15" customHeight="1" outlineLevel="1">
      <c r="B433" s="453"/>
      <c r="C433" s="402"/>
      <c r="D433" s="404"/>
      <c r="E433" s="404"/>
      <c r="F433" s="404"/>
      <c r="G433" s="404"/>
      <c r="H433" s="480"/>
      <c r="I433" s="480"/>
      <c r="J433" s="480"/>
      <c r="K433" s="480"/>
      <c r="L433" s="480"/>
      <c r="M433" s="480"/>
    </row>
    <row r="434" spans="2:15" ht="15" customHeight="1" outlineLevel="1">
      <c r="B434" s="633"/>
      <c r="C434" s="482"/>
      <c r="D434" s="484"/>
      <c r="E434" s="484"/>
      <c r="F434" s="484"/>
      <c r="G434" s="484"/>
      <c r="H434" s="485"/>
      <c r="I434" s="485"/>
      <c r="J434" s="485"/>
      <c r="K434" s="485"/>
      <c r="L434" s="485"/>
      <c r="M434" s="485"/>
    </row>
    <row r="435" spans="2:15" ht="15" customHeight="1" outlineLevel="1">
      <c r="B435" s="453"/>
      <c r="C435" s="402"/>
      <c r="D435" s="404"/>
      <c r="E435" s="404"/>
      <c r="F435" s="404"/>
      <c r="G435" s="404"/>
      <c r="H435" s="480"/>
      <c r="I435" s="480"/>
      <c r="J435" s="480"/>
      <c r="K435" s="480"/>
      <c r="L435" s="480"/>
      <c r="M435" s="480"/>
    </row>
    <row r="436" spans="2:15" ht="15" customHeight="1" outlineLevel="1"/>
    <row r="437" spans="2:15" ht="15" customHeight="1" outlineLevel="1">
      <c r="B437" s="555" t="s">
        <v>64</v>
      </c>
      <c r="C437" s="402"/>
      <c r="D437" s="404"/>
      <c r="E437" s="404"/>
      <c r="F437" s="404"/>
      <c r="G437" s="404"/>
      <c r="H437" s="404"/>
      <c r="I437" s="421"/>
      <c r="J437" s="421"/>
      <c r="K437" s="421"/>
      <c r="L437" s="421"/>
      <c r="M437" s="421"/>
    </row>
    <row r="438" spans="2:15" ht="15" customHeight="1" outlineLevel="1">
      <c r="B438" s="555"/>
      <c r="C438" s="402"/>
      <c r="D438" s="404"/>
      <c r="E438" s="404"/>
      <c r="F438" s="404"/>
      <c r="G438" s="404"/>
      <c r="H438" s="404"/>
      <c r="I438" s="421"/>
      <c r="J438" s="421"/>
      <c r="K438" s="421"/>
      <c r="L438" s="421"/>
      <c r="M438" s="421"/>
    </row>
    <row r="439" spans="2:15" ht="15" customHeight="1" outlineLevel="1">
      <c r="B439" s="453" t="s">
        <v>63</v>
      </c>
      <c r="C439" s="402"/>
      <c r="D439" s="404"/>
      <c r="E439" s="404"/>
      <c r="F439" s="404"/>
      <c r="G439" s="404"/>
      <c r="H439" s="480"/>
      <c r="I439" s="623">
        <f>H442</f>
        <v>20433.299099999997</v>
      </c>
      <c r="J439" s="623">
        <f t="shared" ref="J439:M439" ca="1" si="116">I442</f>
        <v>28637.955483603673</v>
      </c>
      <c r="K439" s="623">
        <f t="shared" ca="1" si="116"/>
        <v>36439.484849009401</v>
      </c>
      <c r="L439" s="623">
        <f t="shared" ca="1" si="116"/>
        <v>44251.0430607827</v>
      </c>
      <c r="M439" s="623">
        <f t="shared" ca="1" si="116"/>
        <v>52015.583079491276</v>
      </c>
      <c r="O439" s="430"/>
    </row>
    <row r="440" spans="2:15" ht="15" customHeight="1" outlineLevel="1">
      <c r="B440" s="453" t="s">
        <v>10</v>
      </c>
      <c r="C440" s="402"/>
      <c r="D440" s="404"/>
      <c r="E440" s="404"/>
      <c r="F440" s="404"/>
      <c r="G440" s="404"/>
      <c r="H440" s="480"/>
      <c r="I440" s="623">
        <f ca="1">I430</f>
        <v>10255.820479504599</v>
      </c>
      <c r="J440" s="623">
        <f t="shared" ref="J440:M440" ca="1" si="117">J430</f>
        <v>9751.9117067571642</v>
      </c>
      <c r="K440" s="623">
        <f t="shared" ca="1" si="117"/>
        <v>9764.4477647166241</v>
      </c>
      <c r="L440" s="623">
        <f t="shared" ca="1" si="117"/>
        <v>9705.6750233857128</v>
      </c>
      <c r="M440" s="623">
        <f t="shared" ca="1" si="117"/>
        <v>9383.7590208742622</v>
      </c>
      <c r="O440" s="430"/>
    </row>
    <row r="441" spans="2:15" ht="15" customHeight="1" outlineLevel="1">
      <c r="B441" s="453" t="s">
        <v>62</v>
      </c>
      <c r="C441" s="402"/>
      <c r="D441" s="404"/>
      <c r="E441" s="404"/>
      <c r="F441" s="404"/>
      <c r="G441" s="404"/>
      <c r="H441" s="616"/>
      <c r="I441" s="624">
        <f ca="1">I432*-1</f>
        <v>-2051.1640959009196</v>
      </c>
      <c r="J441" s="624">
        <f t="shared" ref="J441:M441" ca="1" si="118">J432*-1</f>
        <v>-1950.3823413514328</v>
      </c>
      <c r="K441" s="624">
        <f t="shared" ca="1" si="118"/>
        <v>-1952.8895529433248</v>
      </c>
      <c r="L441" s="624">
        <f t="shared" ca="1" si="118"/>
        <v>-1941.1350046771427</v>
      </c>
      <c r="M441" s="624">
        <f t="shared" ca="1" si="118"/>
        <v>-1876.7518041748526</v>
      </c>
      <c r="O441" s="430"/>
    </row>
    <row r="442" spans="2:15" ht="15" customHeight="1" outlineLevel="1">
      <c r="B442" s="453" t="s">
        <v>61</v>
      </c>
      <c r="C442" s="402"/>
      <c r="D442" s="404"/>
      <c r="E442" s="404"/>
      <c r="F442" s="404"/>
      <c r="G442" s="404"/>
      <c r="H442" s="623">
        <f>H106</f>
        <v>20433.299099999997</v>
      </c>
      <c r="I442" s="623">
        <f ca="1">SUM(I439:I441)</f>
        <v>28637.955483603673</v>
      </c>
      <c r="J442" s="623">
        <f t="shared" ref="J442:M442" ca="1" si="119">SUM(J439:J441)</f>
        <v>36439.484849009401</v>
      </c>
      <c r="K442" s="623">
        <f t="shared" ca="1" si="119"/>
        <v>44251.0430607827</v>
      </c>
      <c r="L442" s="623">
        <f t="shared" ca="1" si="119"/>
        <v>52015.583079491276</v>
      </c>
      <c r="M442" s="623">
        <f t="shared" ca="1" si="119"/>
        <v>59522.590296190683</v>
      </c>
      <c r="O442" s="430"/>
    </row>
    <row r="443" spans="2:15" ht="15" customHeight="1" outlineLevel="1"/>
    <row r="444" spans="2:15" s="412" customFormat="1" ht="15" customHeight="1" outlineLevel="1">
      <c r="B444" s="588"/>
      <c r="C444" s="482"/>
      <c r="D444" s="484"/>
      <c r="E444" s="484"/>
      <c r="F444" s="484"/>
      <c r="G444" s="484"/>
      <c r="H444" s="484"/>
      <c r="I444" s="589"/>
      <c r="J444" s="589"/>
      <c r="K444" s="589"/>
      <c r="L444" s="589"/>
      <c r="M444" s="589" t="s">
        <v>0</v>
      </c>
      <c r="N444" s="464"/>
      <c r="O444" s="464"/>
    </row>
  </sheetData>
  <conditionalFormatting sqref="D316">
    <cfRule type="expression" dxfId="4" priority="2">
      <formula>$D$316=1</formula>
    </cfRule>
  </conditionalFormatting>
  <conditionalFormatting sqref="I154:M154">
    <cfRule type="expression" dxfId="3" priority="3">
      <formula>I$154=1</formula>
    </cfRule>
  </conditionalFormatting>
  <printOptions horizontalCentered="1"/>
  <pageMargins left="0.11811023622047245" right="0.11811023622047245" top="0.11811023622047245" bottom="0.11811023622047245" header="0.11811023622047245" footer="0.11811023622047245"/>
  <pageSetup scale="85" orientation="landscape" r:id="rId1"/>
  <headerFooter alignWithMargins="0">
    <oddFooter>&amp;L&amp;"Open Sans,Bold"&amp;10 &amp;K0020603-Statement Modeling&amp;C&amp;"Open Sans,Bold"&amp;10&amp;K002060Page &amp;P of &amp;N&amp;R&amp;G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D2432B-5E4D-456F-A82F-DB530FAD7908}">
  <sheetPr>
    <tabColor theme="1"/>
    <pageSetUpPr autoPageBreaks="0"/>
  </sheetPr>
  <dimension ref="A1:V445"/>
  <sheetViews>
    <sheetView showGridLines="0" zoomScaleNormal="100" zoomScaleSheetLayoutView="90" workbookViewId="0">
      <pane ySplit="1" topLeftCell="A2" activePane="bottomLeft" state="frozen"/>
      <selection pane="bottomLeft"/>
    </sheetView>
  </sheetViews>
  <sheetFormatPr defaultColWidth="9.109375" defaultRowHeight="15" customHeight="1" outlineLevelRow="1"/>
  <cols>
    <col min="1" max="1" width="9.109375" style="4"/>
    <col min="2" max="2" width="15.88671875" style="4" bestFit="1" customWidth="1"/>
    <col min="3" max="3" width="12.6640625" style="4" customWidth="1"/>
    <col min="4" max="4" width="8.109375" style="4" bestFit="1" customWidth="1"/>
    <col min="5" max="5" width="6.6640625" style="4" customWidth="1"/>
    <col min="6" max="13" width="10.33203125" style="4" customWidth="1"/>
    <col min="14" max="14" width="1.6640625" style="4" customWidth="1"/>
    <col min="15" max="15" width="9.109375" style="4" customWidth="1"/>
    <col min="16" max="18" width="12.6640625" style="4" customWidth="1"/>
    <col min="19" max="19" width="9.109375" style="4"/>
    <col min="20" max="22" width="12.6640625" style="4" customWidth="1"/>
    <col min="23" max="16384" width="9.109375" style="4"/>
  </cols>
  <sheetData>
    <row r="1" spans="1:18" ht="50.1" customHeight="1">
      <c r="A1" s="7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P1" s="367"/>
    </row>
    <row r="2" spans="1:18" s="7" customFormat="1" ht="15" customHeight="1">
      <c r="B2" s="211"/>
      <c r="C2" s="40"/>
      <c r="D2" s="277"/>
      <c r="E2" s="39"/>
      <c r="F2" s="269"/>
      <c r="G2" s="269"/>
      <c r="H2" s="269"/>
      <c r="I2" s="186"/>
      <c r="J2" s="186"/>
      <c r="K2" s="186"/>
      <c r="L2" s="186"/>
      <c r="M2" s="186"/>
      <c r="N2" s="3"/>
      <c r="O2" s="3"/>
    </row>
    <row r="3" spans="1:18" s="149" customFormat="1" ht="15" customHeight="1">
      <c r="A3" s="7" t="s">
        <v>0</v>
      </c>
      <c r="B3" s="45" t="s">
        <v>199</v>
      </c>
      <c r="C3" s="44"/>
      <c r="D3" s="43"/>
      <c r="E3" s="43"/>
      <c r="F3" s="42"/>
      <c r="G3" s="42"/>
      <c r="H3" s="42"/>
      <c r="I3" s="42"/>
      <c r="J3" s="42"/>
      <c r="K3" s="42"/>
      <c r="L3" s="42"/>
      <c r="M3" s="42"/>
    </row>
    <row r="4" spans="1:18" s="149" customFormat="1" ht="15" customHeight="1" outlineLevel="1">
      <c r="B4" s="147"/>
      <c r="C4" s="40"/>
      <c r="D4" s="146"/>
      <c r="E4" s="146"/>
      <c r="F4" s="145"/>
      <c r="G4" s="145"/>
      <c r="H4" s="145"/>
      <c r="I4" s="145"/>
      <c r="J4" s="145"/>
      <c r="K4" s="145"/>
      <c r="L4" s="145"/>
      <c r="M4" s="145"/>
      <c r="P4" s="148"/>
    </row>
    <row r="5" spans="1:18" s="149" customFormat="1" ht="15" customHeight="1" outlineLevel="1" thickBot="1">
      <c r="B5" s="41" t="s">
        <v>15</v>
      </c>
      <c r="C5" s="40"/>
      <c r="D5" s="39"/>
      <c r="E5" s="39"/>
      <c r="F5" s="165">
        <f>G5-1</f>
        <v>2020</v>
      </c>
      <c r="G5" s="165">
        <f>H5-1</f>
        <v>2021</v>
      </c>
      <c r="H5" s="165">
        <f>I5-1</f>
        <v>2022</v>
      </c>
      <c r="I5" s="105">
        <f>Inputs!$F$50</f>
        <v>2023</v>
      </c>
      <c r="J5" s="105">
        <f>I5+1</f>
        <v>2024</v>
      </c>
      <c r="K5" s="105">
        <f>J5+1</f>
        <v>2025</v>
      </c>
      <c r="L5" s="105">
        <f>K5+1</f>
        <v>2026</v>
      </c>
      <c r="M5" s="105">
        <f>L5+1</f>
        <v>2027</v>
      </c>
      <c r="O5" s="1"/>
    </row>
    <row r="6" spans="1:18" ht="15" customHeight="1" outlineLevel="1">
      <c r="A6" s="7"/>
      <c r="B6" s="41" t="str" cm="1">
        <f t="array" ref="B6">CONCATENATE("Model Running: ",INDEX(Inputs!$B$10:$B$12,Inputs!$E$5)," Drivers")</f>
        <v>Model Running: Base Case Drivers</v>
      </c>
      <c r="C6" s="40"/>
      <c r="D6" s="39"/>
      <c r="E6" s="39"/>
      <c r="F6" s="39"/>
      <c r="G6" s="39"/>
      <c r="H6" s="39"/>
      <c r="I6" s="159"/>
      <c r="J6" s="159"/>
      <c r="K6" s="159"/>
      <c r="L6" s="159"/>
      <c r="M6" s="159"/>
      <c r="O6" s="1"/>
    </row>
    <row r="7" spans="1:18" s="149" customFormat="1" ht="15" customHeight="1" outlineLevel="1">
      <c r="B7" s="41"/>
      <c r="C7" s="40"/>
      <c r="D7" s="39"/>
      <c r="E7" s="39"/>
      <c r="F7" s="39"/>
      <c r="G7" s="39"/>
      <c r="H7" s="39"/>
    </row>
    <row r="8" spans="1:18" ht="15" customHeight="1" outlineLevel="1">
      <c r="A8" s="7"/>
      <c r="B8" s="211" t="s">
        <v>151</v>
      </c>
      <c r="C8" s="40"/>
      <c r="D8" s="39"/>
      <c r="E8" s="39"/>
      <c r="F8" s="366">
        <v>2.4E-2</v>
      </c>
      <c r="G8" s="365">
        <v>2.1999999999999999E-2</v>
      </c>
      <c r="H8" s="365">
        <v>2.3E-2</v>
      </c>
      <c r="I8" s="364">
        <f>Inputs!H43</f>
        <v>3.5000000000000003E-2</v>
      </c>
      <c r="J8" s="364">
        <f>Inputs!I43</f>
        <v>0.03</v>
      </c>
      <c r="K8" s="364">
        <f>Inputs!J43</f>
        <v>0.03</v>
      </c>
      <c r="L8" s="364">
        <f>Inputs!K43</f>
        <v>2.5000000000000001E-2</v>
      </c>
      <c r="M8" s="363">
        <f>Inputs!L43</f>
        <v>2.5000000000000001E-2</v>
      </c>
    </row>
    <row r="9" spans="1:18" ht="15" customHeight="1" outlineLevel="1">
      <c r="A9" s="7"/>
      <c r="B9" s="211"/>
      <c r="C9" s="40"/>
      <c r="D9" s="39"/>
      <c r="E9" s="39"/>
      <c r="F9" s="310"/>
      <c r="G9" s="310"/>
      <c r="H9" s="310"/>
      <c r="I9" s="310"/>
      <c r="J9" s="310"/>
      <c r="K9" s="310"/>
      <c r="L9" s="310"/>
      <c r="M9" s="310"/>
    </row>
    <row r="10" spans="1:18" ht="15" customHeight="1" outlineLevel="1" thickBot="1">
      <c r="A10" s="7"/>
      <c r="B10" s="211"/>
      <c r="C10" s="40"/>
      <c r="D10" s="39"/>
      <c r="E10" s="39"/>
      <c r="F10" s="310"/>
      <c r="G10" s="310"/>
      <c r="H10" s="310"/>
      <c r="I10" s="310"/>
      <c r="J10" s="310"/>
      <c r="K10" s="310"/>
      <c r="L10" s="310"/>
      <c r="M10" s="310"/>
      <c r="P10" s="52" t="s">
        <v>19</v>
      </c>
      <c r="Q10" s="51" t="s">
        <v>18</v>
      </c>
      <c r="R10" s="50" t="s">
        <v>17</v>
      </c>
    </row>
    <row r="11" spans="1:18" s="7" customFormat="1" ht="15" customHeight="1" outlineLevel="1">
      <c r="B11" s="83" t="s">
        <v>13</v>
      </c>
      <c r="C11" s="8"/>
      <c r="D11" s="39"/>
      <c r="E11" s="8"/>
      <c r="F11" s="338">
        <v>50589</v>
      </c>
      <c r="G11" s="338">
        <v>51647.864999999998</v>
      </c>
      <c r="H11" s="338">
        <v>53760.85</v>
      </c>
      <c r="I11" s="17">
        <f>Model!I150</f>
        <v>56481.149010000008</v>
      </c>
      <c r="J11" s="17">
        <f>Model!J150</f>
        <v>57616.420105101002</v>
      </c>
      <c r="K11" s="17">
        <f>Model!K150</f>
        <v>58774.510149213551</v>
      </c>
      <c r="L11" s="17">
        <f>Model!L150</f>
        <v>59659.066526959199</v>
      </c>
      <c r="M11" s="17">
        <f>Model!M150</f>
        <v>60257.148668891954</v>
      </c>
      <c r="P11" s="373">
        <f>SUM(Model!I10:M10)</f>
        <v>292788.29446016566</v>
      </c>
      <c r="Q11" s="372">
        <f>SUM(I11:M11)</f>
        <v>292788.29446016566</v>
      </c>
      <c r="R11" s="371" cm="1">
        <f t="array" ref="R11">IF(SUM(ISBLANK(Model!I10:M10)*1)&gt;0,0,IF(P11=Q11,1,0))</f>
        <v>1</v>
      </c>
    </row>
    <row r="12" spans="1:18" s="7" customFormat="1" ht="15" customHeight="1" outlineLevel="1">
      <c r="B12" s="83" t="s">
        <v>137</v>
      </c>
      <c r="C12" s="8"/>
      <c r="D12" s="8"/>
      <c r="E12" s="8"/>
      <c r="F12" s="342">
        <v>-24544.3</v>
      </c>
      <c r="G12" s="342">
        <v>-25104.0144</v>
      </c>
      <c r="H12" s="342">
        <v>-25779.4015</v>
      </c>
      <c r="I12" s="357">
        <f>-Model!I196</f>
        <v>-26798.04356355</v>
      </c>
      <c r="J12" s="357">
        <f>-Model!J196</f>
        <v>-27663.110360161067</v>
      </c>
      <c r="K12" s="357">
        <f>-Model!K196</f>
        <v>-28556.592517905559</v>
      </c>
      <c r="L12" s="357">
        <f>-Model!L196</f>
        <v>-29303.422507750336</v>
      </c>
      <c r="M12" s="357">
        <f>-Model!M196</f>
        <v>-30069.914817045261</v>
      </c>
      <c r="P12" s="373">
        <f>SUM(Model!I11:M11)</f>
        <v>-142391.08376641222</v>
      </c>
      <c r="Q12" s="372">
        <f>SUM(I12:M12)</f>
        <v>-142391.08376641222</v>
      </c>
      <c r="R12" s="371" cm="1">
        <f t="array" ref="R12">IF(SUM(ISBLANK(Model!I11:M11)*1)&gt;0,0,IF(P12=Q12,1,0))</f>
        <v>1</v>
      </c>
    </row>
    <row r="13" spans="1:18" s="7" customFormat="1" ht="15" customHeight="1" outlineLevel="1">
      <c r="B13" s="101" t="s">
        <v>198</v>
      </c>
      <c r="C13" s="21"/>
      <c r="D13" s="8"/>
      <c r="E13" s="8"/>
      <c r="F13" s="358">
        <v>26044.7</v>
      </c>
      <c r="G13" s="358">
        <v>26543.850599999998</v>
      </c>
      <c r="H13" s="358">
        <v>27981.448499999999</v>
      </c>
      <c r="I13" s="359">
        <f>SUM(Model!I10:I11)</f>
        <v>29683.105446450008</v>
      </c>
      <c r="J13" s="359">
        <f>SUM(Model!J10:J11)</f>
        <v>29953.309744939936</v>
      </c>
      <c r="K13" s="359">
        <f>SUM(Model!K10:K11)</f>
        <v>30217.917631307992</v>
      </c>
      <c r="L13" s="359">
        <f>SUM(Model!L10:L11)</f>
        <v>30355.644019208863</v>
      </c>
      <c r="M13" s="359">
        <f>SUM(Model!M10:M11)</f>
        <v>30187.233851846693</v>
      </c>
      <c r="P13" s="370">
        <f>SUM(Model!I12:M12)</f>
        <v>150397.2106937535</v>
      </c>
      <c r="Q13" s="369">
        <f>SUM(I13:M13)</f>
        <v>150397.2106937535</v>
      </c>
      <c r="R13" s="368" cm="1">
        <f t="array" ref="R13">IF(SUM(ISBLANK(Model!I12:M12)*1)&gt;0,0,IF(P13=Q13,1,0))</f>
        <v>1</v>
      </c>
    </row>
    <row r="14" spans="1:18" s="7" customFormat="1" ht="15" customHeight="1" outlineLevel="1">
      <c r="B14" s="101"/>
      <c r="C14" s="21"/>
      <c r="D14" s="8"/>
      <c r="E14" s="8"/>
      <c r="F14" s="360"/>
      <c r="G14" s="360"/>
      <c r="H14" s="360"/>
      <c r="I14" s="172"/>
      <c r="J14" s="172"/>
      <c r="K14" s="172"/>
      <c r="L14" s="172"/>
      <c r="M14" s="172"/>
      <c r="P14" s="3"/>
    </row>
    <row r="15" spans="1:18" s="7" customFormat="1" ht="15" customHeight="1" outlineLevel="1" thickBot="1">
      <c r="B15" s="83"/>
      <c r="C15" s="8"/>
      <c r="D15" s="8"/>
      <c r="E15" s="8"/>
      <c r="F15" s="360"/>
      <c r="G15" s="360"/>
      <c r="H15" s="360"/>
      <c r="I15" s="362"/>
      <c r="J15" s="362"/>
      <c r="K15" s="362"/>
      <c r="L15" s="362"/>
      <c r="M15" s="361"/>
      <c r="P15" s="52" t="s">
        <v>19</v>
      </c>
      <c r="Q15" s="51" t="s">
        <v>18</v>
      </c>
      <c r="R15" s="50" t="s">
        <v>17</v>
      </c>
    </row>
    <row r="16" spans="1:18" s="7" customFormat="1" ht="15" customHeight="1" outlineLevel="1">
      <c r="B16" s="83" t="s">
        <v>197</v>
      </c>
      <c r="C16" s="8"/>
      <c r="D16" s="8"/>
      <c r="E16" s="8"/>
      <c r="F16" s="338">
        <v>-5877</v>
      </c>
      <c r="G16" s="338">
        <v>-6006</v>
      </c>
      <c r="H16" s="338">
        <v>-6144</v>
      </c>
      <c r="I16" s="340">
        <f>H16*(1+Model!I$7)</f>
        <v>-6359.0399999999991</v>
      </c>
      <c r="J16" s="340">
        <f>I16*(1+Model!J$7)</f>
        <v>-6549.8111999999992</v>
      </c>
      <c r="K16" s="340">
        <f>J16*(1+Model!K$7)</f>
        <v>-6746.3055359999989</v>
      </c>
      <c r="L16" s="340">
        <f>K16*(1+Model!L$7)</f>
        <v>-6914.963174399998</v>
      </c>
      <c r="M16" s="340">
        <f>L16*(1+Model!M$7)</f>
        <v>-7087.8372537599971</v>
      </c>
      <c r="P16" s="373">
        <f>SUM(Model!I15:M15)</f>
        <v>-33657.95716415999</v>
      </c>
      <c r="Q16" s="372">
        <f>SUM(I16:M16)</f>
        <v>-33657.95716415999</v>
      </c>
      <c r="R16" s="371" cm="1">
        <f t="array" ref="R16">IF(SUM(ISBLANK(Model!I15:M15)*1)&gt;0,0,IF(P16=Q16,1,0))</f>
        <v>1</v>
      </c>
    </row>
    <row r="17" spans="2:18" s="7" customFormat="1" ht="15" customHeight="1" outlineLevel="1">
      <c r="B17" s="83" t="s">
        <v>196</v>
      </c>
      <c r="C17" s="8"/>
      <c r="D17" s="8"/>
      <c r="E17" s="8"/>
      <c r="F17" s="342">
        <v>-1764</v>
      </c>
      <c r="G17" s="342">
        <v>-1931</v>
      </c>
      <c r="H17" s="342">
        <v>-2026</v>
      </c>
      <c r="I17" s="341">
        <f>H17*(1+Model!I$7)</f>
        <v>-2096.91</v>
      </c>
      <c r="J17" s="341">
        <f>I17*(1+Model!J$7)</f>
        <v>-2159.8172999999997</v>
      </c>
      <c r="K17" s="341">
        <f>J17*(1+Model!K$7)</f>
        <v>-2224.6118189999997</v>
      </c>
      <c r="L17" s="341">
        <f>K17*(1+Model!L$7)</f>
        <v>-2280.2271144749993</v>
      </c>
      <c r="M17" s="341">
        <f>L17*(1+Model!M$7)</f>
        <v>-2337.2327923368739</v>
      </c>
      <c r="P17" s="373">
        <f>SUM(Model!I16:M16)</f>
        <v>-11098.799025811872</v>
      </c>
      <c r="Q17" s="372">
        <f>SUM(I17:M17)</f>
        <v>-11098.799025811872</v>
      </c>
      <c r="R17" s="371" cm="1">
        <f t="array" ref="R17">IF(SUM(ISBLANK(Model!I16:M16)*1)&gt;0,0,IF(P17=Q17,1,0))</f>
        <v>1</v>
      </c>
    </row>
    <row r="18" spans="2:18" s="7" customFormat="1" ht="15" customHeight="1" outlineLevel="1">
      <c r="B18" s="101" t="s">
        <v>12</v>
      </c>
      <c r="C18" s="21"/>
      <c r="D18" s="8"/>
      <c r="E18" s="8"/>
      <c r="F18" s="358">
        <v>18403.7</v>
      </c>
      <c r="G18" s="358">
        <v>18606.850599999998</v>
      </c>
      <c r="H18" s="358">
        <v>19811.448499999999</v>
      </c>
      <c r="I18" s="359">
        <f>SUM(Model!I15:I16)+Model!I12</f>
        <v>21227.155446450008</v>
      </c>
      <c r="J18" s="359">
        <f>SUM(Model!J15:J16)+Model!J12</f>
        <v>21243.681244939937</v>
      </c>
      <c r="K18" s="359">
        <f>SUM(Model!K15:K16)+Model!K12</f>
        <v>21247.000276307994</v>
      </c>
      <c r="L18" s="359">
        <f>SUM(Model!L15:L16)+Model!L12</f>
        <v>21160.453730333866</v>
      </c>
      <c r="M18" s="359">
        <f>SUM(Model!M15:M16)+Model!M12</f>
        <v>20762.16380574982</v>
      </c>
      <c r="P18" s="370">
        <f>SUM(Model!I17:M17)</f>
        <v>105640.45450378163</v>
      </c>
      <c r="Q18" s="369">
        <f>SUM(I18:M18)</f>
        <v>105640.45450378163</v>
      </c>
      <c r="R18" s="368" cm="1">
        <f t="array" ref="R18">IF(SUM(ISBLANK(Model!I17:M17)*1)&gt;0,0,IF(P18=Q18,1,0))</f>
        <v>1</v>
      </c>
    </row>
    <row r="19" spans="2:18" s="7" customFormat="1" ht="15" customHeight="1" outlineLevel="1">
      <c r="B19" s="101"/>
      <c r="C19" s="21"/>
      <c r="D19" s="8"/>
      <c r="E19" s="8"/>
      <c r="F19" s="360"/>
      <c r="G19" s="360"/>
      <c r="H19" s="360"/>
      <c r="I19" s="172"/>
      <c r="J19" s="172"/>
      <c r="K19" s="172"/>
      <c r="L19" s="172"/>
      <c r="M19" s="172"/>
    </row>
    <row r="20" spans="2:18" s="7" customFormat="1" ht="15" customHeight="1" outlineLevel="1" thickBot="1">
      <c r="B20" s="83"/>
      <c r="C20" s="8"/>
      <c r="D20" s="8"/>
      <c r="E20" s="8"/>
      <c r="F20" s="358"/>
      <c r="G20" s="358"/>
      <c r="H20" s="358"/>
      <c r="I20" s="172"/>
      <c r="J20" s="172"/>
      <c r="K20" s="172"/>
      <c r="L20" s="172"/>
      <c r="M20" s="172"/>
      <c r="P20" s="52" t="s">
        <v>19</v>
      </c>
      <c r="Q20" s="51" t="s">
        <v>18</v>
      </c>
      <c r="R20" s="50" t="s">
        <v>17</v>
      </c>
    </row>
    <row r="21" spans="2:18" s="7" customFormat="1" ht="15" customHeight="1" outlineLevel="1">
      <c r="B21" s="83" t="s">
        <v>27</v>
      </c>
      <c r="C21" s="8"/>
      <c r="D21" s="8"/>
      <c r="E21" s="8"/>
      <c r="F21" s="342">
        <v>-2960</v>
      </c>
      <c r="G21" s="342">
        <v>-3196</v>
      </c>
      <c r="H21" s="342">
        <v>-3452</v>
      </c>
      <c r="I21" s="341">
        <f>-Model!I270</f>
        <v>-5349.8125</v>
      </c>
      <c r="J21" s="341">
        <f>-Model!J270</f>
        <v>-6162.9375</v>
      </c>
      <c r="K21" s="341">
        <f>-Model!K270</f>
        <v>-6521.0625</v>
      </c>
      <c r="L21" s="341">
        <f>-Model!L270</f>
        <v>-6882.9375</v>
      </c>
      <c r="M21" s="341">
        <f>-Model!M270</f>
        <v>-7255.125</v>
      </c>
      <c r="P21" s="373">
        <f>SUM(Model!I20:M20)</f>
        <v>-32171.875</v>
      </c>
      <c r="Q21" s="372">
        <f>SUM(I21:M21)</f>
        <v>-32171.875</v>
      </c>
      <c r="R21" s="371" cm="1">
        <f t="array" ref="R21">IF(SUM(ISBLANK(Model!I20:M20)*1)&gt;0,0,IF(P21=Q21,1,0))</f>
        <v>1</v>
      </c>
    </row>
    <row r="22" spans="2:18" s="7" customFormat="1" ht="15" customHeight="1" outlineLevel="1">
      <c r="B22" s="101" t="s">
        <v>195</v>
      </c>
      <c r="C22" s="21"/>
      <c r="D22" s="8"/>
      <c r="E22" s="8"/>
      <c r="F22" s="358">
        <v>15443.7</v>
      </c>
      <c r="G22" s="358">
        <v>15410.850599999998</v>
      </c>
      <c r="H22" s="358">
        <v>16359.448499999999</v>
      </c>
      <c r="I22" s="359">
        <f>Model!I20+Model!I17</f>
        <v>15877.342946450011</v>
      </c>
      <c r="J22" s="359">
        <f>Model!J20+Model!J17</f>
        <v>15080.743744939937</v>
      </c>
      <c r="K22" s="359">
        <f>Model!K20+Model!K17</f>
        <v>14725.93777630799</v>
      </c>
      <c r="L22" s="359">
        <f>Model!L20+Model!L17</f>
        <v>14277.516230333866</v>
      </c>
      <c r="M22" s="359">
        <f>Model!M20+Model!M17</f>
        <v>13507.03880574982</v>
      </c>
      <c r="P22" s="370">
        <f>SUM(Model!I21:M21)</f>
        <v>73468.579503781628</v>
      </c>
      <c r="Q22" s="369">
        <f>SUM(I22:M22)</f>
        <v>73468.579503781628</v>
      </c>
      <c r="R22" s="368" cm="1">
        <f t="array" ref="R22">IF(SUM(ISBLANK(Model!I21:M21)*1)&gt;0,0,IF(P22=Q22,1,0))</f>
        <v>1</v>
      </c>
    </row>
    <row r="23" spans="2:18" s="7" customFormat="1" ht="15" customHeight="1" outlineLevel="1">
      <c r="B23" s="101"/>
      <c r="C23" s="21"/>
      <c r="D23" s="8"/>
      <c r="E23" s="8"/>
      <c r="F23" s="358"/>
      <c r="G23" s="358"/>
      <c r="H23" s="358"/>
      <c r="I23" s="172"/>
      <c r="J23" s="172"/>
      <c r="K23" s="172"/>
      <c r="L23" s="172"/>
      <c r="M23" s="172"/>
    </row>
    <row r="24" spans="2:18" s="7" customFormat="1" ht="15" customHeight="1" outlineLevel="1" thickBot="1">
      <c r="B24" s="101"/>
      <c r="C24" s="21"/>
      <c r="D24" s="8"/>
      <c r="E24" s="8"/>
      <c r="F24" s="358"/>
      <c r="G24" s="358"/>
      <c r="H24" s="358"/>
      <c r="I24" s="172"/>
      <c r="J24" s="172"/>
      <c r="K24" s="172"/>
      <c r="L24" s="172"/>
      <c r="M24" s="172"/>
      <c r="P24" s="52" t="s">
        <v>19</v>
      </c>
      <c r="Q24" s="51" t="s">
        <v>18</v>
      </c>
      <c r="R24" s="50" t="s">
        <v>17</v>
      </c>
    </row>
    <row r="25" spans="2:18" s="7" customFormat="1" ht="15" customHeight="1" outlineLevel="1">
      <c r="B25" s="83" t="s">
        <v>71</v>
      </c>
      <c r="C25" s="8"/>
      <c r="D25" s="8"/>
      <c r="E25" s="8"/>
      <c r="F25" s="338">
        <v>-1688</v>
      </c>
      <c r="G25" s="338">
        <v>-2200</v>
      </c>
      <c r="H25" s="338">
        <v>-2350</v>
      </c>
      <c r="I25" s="17">
        <f ca="1">-Model!I410</f>
        <v>-1268.2208283720142</v>
      </c>
      <c r="J25" s="17">
        <f ca="1">-Model!J410</f>
        <v>-1149.441306715418</v>
      </c>
      <c r="K25" s="17">
        <f ca="1">-Model!K410</f>
        <v>-776.72668385566999</v>
      </c>
      <c r="L25" s="17">
        <f ca="1">-Model!L410</f>
        <v>-415.50620551226632</v>
      </c>
      <c r="M25" s="17">
        <f ca="1">-Model!M410</f>
        <v>-120</v>
      </c>
      <c r="P25" s="373">
        <f ca="1">SUM(Model!I24:M24)</f>
        <v>-3729.895024455368</v>
      </c>
      <c r="Q25" s="372">
        <f ca="1">SUM(I25:M25)</f>
        <v>-3729.895024455368</v>
      </c>
      <c r="R25" s="371" cm="1">
        <f t="array" aca="1" ref="R25" ca="1">IF(SUM(ISBLANK(Model!I24:M24)*1)&gt;0,0,IF(P25=Q25,1,0))</f>
        <v>1</v>
      </c>
    </row>
    <row r="26" spans="2:18" s="7" customFormat="1" ht="15" customHeight="1" outlineLevel="1">
      <c r="B26" s="83" t="s">
        <v>83</v>
      </c>
      <c r="C26" s="8"/>
      <c r="D26" s="8"/>
      <c r="E26" s="8"/>
      <c r="F26" s="342">
        <v>200</v>
      </c>
      <c r="G26" s="342">
        <v>180</v>
      </c>
      <c r="H26" s="342">
        <v>193</v>
      </c>
      <c r="I26" s="357">
        <f ca="1">-Model!I411</f>
        <v>42.049995499999994</v>
      </c>
      <c r="J26" s="357">
        <f ca="1">-Model!J411</f>
        <v>0</v>
      </c>
      <c r="K26" s="357">
        <f ca="1">-Model!K411</f>
        <v>0</v>
      </c>
      <c r="L26" s="357">
        <f ca="1">-Model!L411</f>
        <v>3.2400085865612254</v>
      </c>
      <c r="M26" s="357">
        <f ca="1">-Model!M411</f>
        <v>18.331224070553958</v>
      </c>
      <c r="P26" s="373">
        <f ca="1">SUM(Model!I25:M25)</f>
        <v>63.621228157115176</v>
      </c>
      <c r="Q26" s="372">
        <f ca="1">SUM(I26:M26)</f>
        <v>63.621228157115176</v>
      </c>
      <c r="R26" s="371" cm="1">
        <f t="array" aca="1" ref="R26" ca="1">IF(SUM(ISBLANK(Model!I25:M25)*1)&gt;0,0,IF(P26=Q26,1,0))</f>
        <v>1</v>
      </c>
    </row>
    <row r="27" spans="2:18" s="7" customFormat="1" ht="15" customHeight="1" outlineLevel="1">
      <c r="B27" s="101" t="s">
        <v>103</v>
      </c>
      <c r="C27" s="21"/>
      <c r="D27" s="8"/>
      <c r="E27" s="8"/>
      <c r="F27" s="358">
        <v>13955.7</v>
      </c>
      <c r="G27" s="358">
        <v>13390.850599999998</v>
      </c>
      <c r="H27" s="358">
        <v>14202.448499999999</v>
      </c>
      <c r="I27" s="359">
        <f ca="1">SUM(Model!I24:I25)+Model!I21</f>
        <v>14651.172113577997</v>
      </c>
      <c r="J27" s="359">
        <f ca="1">SUM(Model!J24:J25)+Model!J21</f>
        <v>13931.302438224518</v>
      </c>
      <c r="K27" s="359">
        <f ca="1">SUM(Model!K24:K25)+Model!K21</f>
        <v>13949.21109245232</v>
      </c>
      <c r="L27" s="359">
        <f ca="1">SUM(Model!L24:L25)+Model!L21</f>
        <v>13865.25003340816</v>
      </c>
      <c r="M27" s="359">
        <f ca="1">SUM(Model!M24:M25)+Model!M21</f>
        <v>13405.370029820375</v>
      </c>
      <c r="P27" s="370">
        <f ca="1">SUM(Model!I26:M26)</f>
        <v>69802.305707483378</v>
      </c>
      <c r="Q27" s="369">
        <f ca="1">SUM(I27:M27)</f>
        <v>69802.305707483378</v>
      </c>
      <c r="R27" s="368" cm="1">
        <f t="array" aca="1" ref="R27" ca="1">IF(SUM(ISBLANK(Model!I26:M26)*1)&gt;0,0,IF(P27=Q27,1,0))</f>
        <v>1</v>
      </c>
    </row>
    <row r="28" spans="2:18" s="7" customFormat="1" ht="15" customHeight="1" outlineLevel="1">
      <c r="B28" s="101"/>
      <c r="C28" s="21"/>
      <c r="D28" s="8"/>
      <c r="E28" s="8"/>
      <c r="F28" s="358"/>
      <c r="G28" s="358"/>
      <c r="H28" s="358"/>
      <c r="I28" s="172"/>
      <c r="J28" s="172"/>
      <c r="K28" s="172"/>
      <c r="L28" s="172"/>
      <c r="M28" s="172"/>
    </row>
    <row r="29" spans="2:18" s="7" customFormat="1" ht="15" customHeight="1" outlineLevel="1" thickBot="1">
      <c r="B29" s="101"/>
      <c r="C29" s="21"/>
      <c r="D29" s="8"/>
      <c r="E29" s="8"/>
      <c r="F29" s="358"/>
      <c r="G29" s="358"/>
      <c r="H29" s="358"/>
      <c r="I29" s="172"/>
      <c r="J29" s="172"/>
      <c r="K29" s="172"/>
      <c r="L29" s="172"/>
      <c r="M29" s="172"/>
      <c r="P29" s="52" t="s">
        <v>19</v>
      </c>
      <c r="Q29" s="51" t="s">
        <v>18</v>
      </c>
      <c r="R29" s="50" t="s">
        <v>17</v>
      </c>
    </row>
    <row r="30" spans="2:18" s="7" customFormat="1" ht="15" customHeight="1" outlineLevel="1">
      <c r="B30" s="83" t="s">
        <v>194</v>
      </c>
      <c r="C30" s="8"/>
      <c r="D30" s="8"/>
      <c r="E30" s="8"/>
      <c r="F30" s="338">
        <v>0</v>
      </c>
      <c r="G30" s="338">
        <v>0</v>
      </c>
      <c r="H30" s="338">
        <v>0</v>
      </c>
      <c r="I30" s="17">
        <f ca="1">-Model!I339</f>
        <v>-2865.5128840733987</v>
      </c>
      <c r="J30" s="17">
        <f ca="1">-Model!J339</f>
        <v>-3309.4293564673558</v>
      </c>
      <c r="K30" s="17">
        <f ca="1">-Model!K339</f>
        <v>-3507.7533464856965</v>
      </c>
      <c r="L30" s="17">
        <f ca="1">-Model!L339</f>
        <v>-3660.4393384599484</v>
      </c>
      <c r="M30" s="17">
        <f ca="1">-Model!M339</f>
        <v>-3683.7653756179884</v>
      </c>
      <c r="P30" s="373">
        <f ca="1">SUM(Model!I29:M29)</f>
        <v>-17026.90030110439</v>
      </c>
      <c r="Q30" s="372">
        <f ca="1">SUM(I30:M30)</f>
        <v>-17026.90030110439</v>
      </c>
      <c r="R30" s="371" cm="1">
        <f t="array" aca="1" ref="R30" ca="1">IF(SUM(ISBLANK(Model!I29:M29)*1)&gt;0,0,IF(P30=Q30,1,0))</f>
        <v>1</v>
      </c>
    </row>
    <row r="31" spans="2:18" s="7" customFormat="1" ht="15" customHeight="1" outlineLevel="1">
      <c r="B31" s="83" t="s">
        <v>193</v>
      </c>
      <c r="C31" s="8"/>
      <c r="D31" s="8"/>
      <c r="E31" s="8"/>
      <c r="F31" s="342">
        <v>-3155</v>
      </c>
      <c r="G31" s="342">
        <v>-2861</v>
      </c>
      <c r="H31" s="342">
        <v>-3012</v>
      </c>
      <c r="I31" s="357">
        <f ca="1">-Model!I340</f>
        <v>-1529.8387499999999</v>
      </c>
      <c r="J31" s="357">
        <f ca="1">-Model!J340</f>
        <v>-869.96137499999941</v>
      </c>
      <c r="K31" s="357">
        <f ca="1">-Model!K340</f>
        <v>-677.00998124999978</v>
      </c>
      <c r="L31" s="357">
        <f ca="1">-Model!L340</f>
        <v>-499.13567156249928</v>
      </c>
      <c r="M31" s="357">
        <f ca="1">-Model!M340</f>
        <v>-337.84563332812377</v>
      </c>
      <c r="P31" s="373">
        <f ca="1">SUM(Model!I30:M30)</f>
        <v>-3913.7914111406221</v>
      </c>
      <c r="Q31" s="372">
        <f ca="1">SUM(I31:M31)</f>
        <v>-3913.7914111406221</v>
      </c>
      <c r="R31" s="371" cm="1">
        <f t="array" aca="1" ref="R31" ca="1">IF(SUM(ISBLANK(Model!I30:M30)*1)&gt;0,0,IF(P31=Q31,1,0))</f>
        <v>1</v>
      </c>
    </row>
    <row r="32" spans="2:18" s="7" customFormat="1" ht="15" customHeight="1" outlineLevel="1">
      <c r="B32" s="83" t="s">
        <v>192</v>
      </c>
      <c r="C32" s="8"/>
      <c r="D32" s="8"/>
      <c r="E32" s="8"/>
      <c r="F32" s="338">
        <v>-3155</v>
      </c>
      <c r="G32" s="338">
        <v>-2861</v>
      </c>
      <c r="H32" s="338">
        <v>-3012</v>
      </c>
      <c r="I32" s="17">
        <f ca="1">SUM(Model!I29:I30)</f>
        <v>-4395.3516340733986</v>
      </c>
      <c r="J32" s="17">
        <f ca="1">SUM(Model!J29:J30)</f>
        <v>-4179.3907314673552</v>
      </c>
      <c r="K32" s="17">
        <f ca="1">SUM(Model!K29:K30)</f>
        <v>-4184.7633277356963</v>
      </c>
      <c r="L32" s="17">
        <f ca="1">SUM(Model!L29:L30)</f>
        <v>-4159.5750100224477</v>
      </c>
      <c r="M32" s="17">
        <f ca="1">SUM(Model!M29:M30)</f>
        <v>-4021.6110089461122</v>
      </c>
      <c r="P32" s="370">
        <f ca="1">SUM(Model!I31:M31)</f>
        <v>-20940.69171224501</v>
      </c>
      <c r="Q32" s="369">
        <f ca="1">SUM(I32:M32)</f>
        <v>-20940.69171224501</v>
      </c>
      <c r="R32" s="368" cm="1">
        <f t="array" aca="1" ref="R32" ca="1">IF(SUM(ISBLANK(Model!I31:M31)*1)&gt;0,0,IF(P32=Q32,1,0))</f>
        <v>1</v>
      </c>
    </row>
    <row r="33" spans="1:18" s="7" customFormat="1" ht="15" customHeight="1" outlineLevel="1">
      <c r="B33" s="83"/>
      <c r="C33" s="8"/>
      <c r="D33" s="8"/>
      <c r="E33" s="8"/>
      <c r="F33" s="338"/>
      <c r="G33" s="338"/>
      <c r="H33" s="338"/>
      <c r="I33" s="356"/>
      <c r="J33" s="356"/>
      <c r="K33" s="356"/>
      <c r="L33" s="356"/>
      <c r="M33" s="356"/>
    </row>
    <row r="34" spans="1:18" s="7" customFormat="1" ht="15" customHeight="1" outlineLevel="1" thickBot="1">
      <c r="B34" s="83"/>
      <c r="C34" s="8"/>
      <c r="D34" s="8"/>
      <c r="E34" s="8"/>
      <c r="F34" s="338"/>
      <c r="G34" s="338"/>
      <c r="H34" s="338"/>
      <c r="I34" s="356"/>
      <c r="J34" s="356"/>
      <c r="K34" s="356"/>
      <c r="L34" s="356"/>
      <c r="M34" s="356"/>
      <c r="P34" s="382" t="s">
        <v>19</v>
      </c>
      <c r="Q34" s="381" t="s">
        <v>18</v>
      </c>
      <c r="R34" s="380" t="s">
        <v>17</v>
      </c>
    </row>
    <row r="35" spans="1:18" s="7" customFormat="1" ht="15" customHeight="1" outlineLevel="1" thickBot="1">
      <c r="B35" s="101" t="s">
        <v>10</v>
      </c>
      <c r="C35" s="21"/>
      <c r="D35" s="8"/>
      <c r="E35" s="8"/>
      <c r="F35" s="355">
        <v>10800.7</v>
      </c>
      <c r="G35" s="355">
        <v>10529.850599999998</v>
      </c>
      <c r="H35" s="355">
        <v>11190.448499999999</v>
      </c>
      <c r="I35" s="354">
        <f ca="1">Model!I31+Model!I26</f>
        <v>10255.820479504599</v>
      </c>
      <c r="J35" s="354">
        <f ca="1">Model!J31+Model!J26</f>
        <v>9751.9117067571642</v>
      </c>
      <c r="K35" s="354">
        <f ca="1">Model!K31+Model!K26</f>
        <v>9764.4477647166241</v>
      </c>
      <c r="L35" s="354">
        <f ca="1">Model!L31+Model!L26</f>
        <v>9705.6750233857128</v>
      </c>
      <c r="M35" s="354">
        <f ca="1">Model!M31+Model!M26</f>
        <v>9383.7590208742622</v>
      </c>
      <c r="P35" s="379">
        <f ca="1">SUM(Model!I34:M34)</f>
        <v>48861.61399523836</v>
      </c>
      <c r="Q35" s="378">
        <f ca="1">SUM(I35:M35)</f>
        <v>48861.61399523836</v>
      </c>
      <c r="R35" s="377" cm="1">
        <f t="array" aca="1" ref="R35" ca="1">IF(SUM(ISBLANK(Model!I34:M34)*1)&gt;0,0,IF(P35=Q35,1,0))</f>
        <v>1</v>
      </c>
    </row>
    <row r="36" spans="1:18" s="7" customFormat="1" ht="15" customHeight="1" outlineLevel="1">
      <c r="B36" s="21"/>
      <c r="C36" s="21"/>
      <c r="D36" s="8"/>
      <c r="E36" s="8"/>
      <c r="F36" s="331"/>
      <c r="G36" s="331"/>
      <c r="H36" s="331"/>
      <c r="I36" s="331"/>
      <c r="J36" s="331"/>
      <c r="K36" s="331"/>
      <c r="L36" s="331"/>
      <c r="M36" s="331"/>
    </row>
    <row r="37" spans="1:18" s="7" customFormat="1" ht="15" customHeight="1" outlineLevel="1">
      <c r="B37" s="283"/>
      <c r="C37" s="283"/>
      <c r="D37" s="282"/>
      <c r="E37" s="282"/>
      <c r="F37" s="325"/>
      <c r="G37" s="325"/>
      <c r="H37" s="325"/>
      <c r="I37" s="325"/>
      <c r="J37" s="325"/>
      <c r="K37" s="325"/>
      <c r="L37" s="325"/>
      <c r="M37" s="325"/>
    </row>
    <row r="38" spans="1:18" s="7" customFormat="1" ht="15" customHeight="1">
      <c r="B38" s="211"/>
      <c r="C38" s="278"/>
      <c r="D38" s="277"/>
      <c r="E38" s="8"/>
      <c r="F38" s="181"/>
      <c r="G38" s="181"/>
      <c r="H38" s="181"/>
      <c r="I38" s="181"/>
      <c r="J38" s="181"/>
      <c r="K38" s="181"/>
      <c r="L38" s="181"/>
      <c r="M38" s="181"/>
      <c r="N38" s="3"/>
      <c r="O38" s="3"/>
    </row>
    <row r="39" spans="1:18" s="149" customFormat="1" ht="15" customHeight="1">
      <c r="A39" s="7" t="s">
        <v>0</v>
      </c>
      <c r="B39" s="45" t="s">
        <v>191</v>
      </c>
      <c r="C39" s="44"/>
      <c r="D39" s="43"/>
      <c r="E39" s="43"/>
      <c r="F39" s="42"/>
      <c r="G39" s="42"/>
      <c r="H39" s="42"/>
      <c r="I39" s="42"/>
      <c r="J39" s="42"/>
      <c r="K39" s="42"/>
      <c r="L39" s="42"/>
      <c r="M39" s="42"/>
      <c r="P39" s="148"/>
    </row>
    <row r="40" spans="1:18" s="149" customFormat="1" ht="15" customHeight="1" outlineLevel="1">
      <c r="B40" s="147"/>
      <c r="C40" s="40"/>
      <c r="D40" s="146"/>
      <c r="E40" s="146"/>
      <c r="F40" s="145"/>
      <c r="G40" s="145"/>
      <c r="H40" s="145"/>
      <c r="I40" s="145"/>
      <c r="J40" s="145"/>
      <c r="K40" s="145"/>
      <c r="L40" s="145"/>
      <c r="M40" s="145"/>
    </row>
    <row r="41" spans="1:18" s="149" customFormat="1" ht="15" customHeight="1" outlineLevel="1" thickBot="1">
      <c r="B41" s="41" t="s">
        <v>15</v>
      </c>
      <c r="C41" s="40"/>
      <c r="D41" s="39"/>
      <c r="E41" s="39"/>
      <c r="F41" s="165">
        <f t="shared" ref="F41:M41" si="0">F$5</f>
        <v>2020</v>
      </c>
      <c r="G41" s="165">
        <f t="shared" si="0"/>
        <v>2021</v>
      </c>
      <c r="H41" s="165">
        <f t="shared" si="0"/>
        <v>2022</v>
      </c>
      <c r="I41" s="105">
        <f t="shared" si="0"/>
        <v>2023</v>
      </c>
      <c r="J41" s="105">
        <f t="shared" si="0"/>
        <v>2024</v>
      </c>
      <c r="K41" s="105">
        <f t="shared" si="0"/>
        <v>2025</v>
      </c>
      <c r="L41" s="105">
        <f t="shared" si="0"/>
        <v>2026</v>
      </c>
      <c r="M41" s="105">
        <f t="shared" si="0"/>
        <v>2027</v>
      </c>
    </row>
    <row r="42" spans="1:18" ht="15" customHeight="1" outlineLevel="1">
      <c r="A42" s="7"/>
      <c r="B42" s="41" t="str">
        <f>B$6</f>
        <v>Model Running: Base Case Drivers</v>
      </c>
      <c r="C42" s="40"/>
      <c r="D42" s="39"/>
      <c r="E42" s="39"/>
      <c r="F42" s="39"/>
      <c r="G42" s="39"/>
      <c r="H42" s="39"/>
      <c r="I42" s="159"/>
      <c r="J42" s="159"/>
      <c r="K42" s="159"/>
      <c r="L42" s="159"/>
      <c r="M42" s="159"/>
      <c r="P42" s="3"/>
    </row>
    <row r="43" spans="1:18" s="149" customFormat="1" ht="15" customHeight="1" outlineLevel="1">
      <c r="B43" s="41"/>
      <c r="C43" s="40"/>
      <c r="D43" s="39"/>
      <c r="E43" s="39"/>
      <c r="F43" s="39"/>
      <c r="G43" s="39"/>
      <c r="H43" s="39"/>
      <c r="P43" s="3"/>
    </row>
    <row r="44" spans="1:18" s="149" customFormat="1" ht="15" customHeight="1" outlineLevel="1">
      <c r="B44" s="41"/>
      <c r="C44" s="40"/>
      <c r="D44" s="39"/>
      <c r="E44" s="39"/>
      <c r="F44" s="39"/>
      <c r="G44" s="39"/>
      <c r="H44" s="39"/>
      <c r="P44" s="3"/>
    </row>
    <row r="45" spans="1:18" ht="15" customHeight="1" outlineLevel="1" thickBot="1">
      <c r="A45" s="7"/>
      <c r="B45" s="21" t="s">
        <v>190</v>
      </c>
      <c r="C45" s="21"/>
      <c r="F45" s="353"/>
      <c r="G45" s="353"/>
      <c r="H45" s="353"/>
      <c r="I45" s="352"/>
      <c r="J45" s="352"/>
      <c r="K45" s="352"/>
      <c r="M45" s="309"/>
      <c r="P45" s="52" t="s">
        <v>19</v>
      </c>
      <c r="Q45" s="51" t="s">
        <v>18</v>
      </c>
      <c r="R45" s="50" t="s">
        <v>17</v>
      </c>
    </row>
    <row r="46" spans="1:18" ht="15" customHeight="1" outlineLevel="1">
      <c r="A46" s="7"/>
      <c r="B46" s="18" t="s">
        <v>10</v>
      </c>
      <c r="C46" s="18"/>
      <c r="F46" s="203">
        <v>10800.7</v>
      </c>
      <c r="G46" s="203">
        <v>10529.850599999998</v>
      </c>
      <c r="H46" s="203">
        <v>11190.448499999999</v>
      </c>
      <c r="I46" s="348">
        <f ca="1">Model!I34</f>
        <v>10255.820479504599</v>
      </c>
      <c r="J46" s="348">
        <f ca="1">Model!J34</f>
        <v>9751.9117067571642</v>
      </c>
      <c r="K46" s="348">
        <f ca="1">Model!K34</f>
        <v>9764.4477647166241</v>
      </c>
      <c r="L46" s="348">
        <f ca="1">Model!L34</f>
        <v>9705.6750233857128</v>
      </c>
      <c r="M46" s="348">
        <f ca="1">Model!M34</f>
        <v>9383.7590208742622</v>
      </c>
      <c r="P46" s="373">
        <f ca="1">SUM(Model!I45:M45)</f>
        <v>48861.61399523836</v>
      </c>
      <c r="Q46" s="372">
        <f t="shared" ref="Q46:Q52" ca="1" si="1">SUM(I46:M46)</f>
        <v>48861.61399523836</v>
      </c>
      <c r="R46" s="371" cm="1">
        <f t="array" aca="1" ref="R46" ca="1">IF(SUM(ISBLANK(Model!I45:M45)*1)&gt;0,0,IF(P46=Q46,1,0))</f>
        <v>1</v>
      </c>
    </row>
    <row r="47" spans="1:18" ht="15" customHeight="1" outlineLevel="1">
      <c r="A47" s="7"/>
      <c r="B47" s="18" t="s">
        <v>89</v>
      </c>
      <c r="C47" s="18"/>
      <c r="F47" s="203">
        <v>3155</v>
      </c>
      <c r="G47" s="203">
        <v>2861</v>
      </c>
      <c r="H47" s="203">
        <v>3012</v>
      </c>
      <c r="I47" s="348">
        <f ca="1">-Model!I30</f>
        <v>1529.8387499999999</v>
      </c>
      <c r="J47" s="348">
        <f ca="1">-Model!J30</f>
        <v>869.96137499999941</v>
      </c>
      <c r="K47" s="348">
        <f ca="1">-Model!K30</f>
        <v>677.00998124999978</v>
      </c>
      <c r="L47" s="348">
        <f ca="1">-Model!L30</f>
        <v>499.13567156249928</v>
      </c>
      <c r="M47" s="348">
        <f ca="1">-Model!M30</f>
        <v>337.84563332812377</v>
      </c>
      <c r="P47" s="373">
        <f ca="1">SUM(Model!I46:M46)</f>
        <v>3913.7914111406221</v>
      </c>
      <c r="Q47" s="372">
        <f t="shared" ca="1" si="1"/>
        <v>3913.7914111406221</v>
      </c>
      <c r="R47" s="371" cm="1">
        <f t="array" aca="1" ref="R47" ca="1">IF(SUM(ISBLANK(Model!I46:M46)*1)&gt;0,0,IF(P47=Q47,1,0))</f>
        <v>1</v>
      </c>
    </row>
    <row r="48" spans="1:18" ht="15" customHeight="1" outlineLevel="1">
      <c r="A48" s="7"/>
      <c r="B48" s="18" t="s">
        <v>27</v>
      </c>
      <c r="C48" s="18"/>
      <c r="F48" s="203">
        <v>2960</v>
      </c>
      <c r="G48" s="203">
        <v>3196</v>
      </c>
      <c r="H48" s="203">
        <v>3452</v>
      </c>
      <c r="I48" s="348">
        <f>-Model!I20</f>
        <v>5349.8125</v>
      </c>
      <c r="J48" s="348">
        <f>-Model!J20</f>
        <v>6162.9375</v>
      </c>
      <c r="K48" s="348">
        <f>-Model!K20</f>
        <v>6521.0625</v>
      </c>
      <c r="L48" s="348">
        <f>-Model!L20</f>
        <v>6882.9375</v>
      </c>
      <c r="M48" s="348">
        <f>-Model!M20</f>
        <v>7255.125</v>
      </c>
      <c r="P48" s="373">
        <f>SUM(Model!I47:M47)</f>
        <v>32171.875</v>
      </c>
      <c r="Q48" s="372">
        <f t="shared" si="1"/>
        <v>32171.875</v>
      </c>
      <c r="R48" s="371" cm="1">
        <f t="array" ref="R48">IF(SUM(ISBLANK(Model!I47:M47)*1)&gt;0,0,IF(P48=Q48,1,0))</f>
        <v>1</v>
      </c>
    </row>
    <row r="49" spans="1:18" ht="15" customHeight="1" outlineLevel="1">
      <c r="A49" s="7"/>
      <c r="B49" s="351" t="s">
        <v>189</v>
      </c>
      <c r="C49" s="18"/>
      <c r="F49" s="203">
        <v>-600</v>
      </c>
      <c r="G49" s="203">
        <v>-625</v>
      </c>
      <c r="H49" s="203">
        <v>-291</v>
      </c>
      <c r="I49" s="348">
        <f>Model!I225</f>
        <v>-339.42933000000085</v>
      </c>
      <c r="J49" s="348">
        <f>Model!J225</f>
        <v>-139.96492953299912</v>
      </c>
      <c r="K49" s="348">
        <f>Model!K225</f>
        <v>-142.77822461661526</v>
      </c>
      <c r="L49" s="348">
        <f>Model!L225</f>
        <v>-109.05489588645014</v>
      </c>
      <c r="M49" s="348">
        <f>Model!M225</f>
        <v>-73.736154484859981</v>
      </c>
      <c r="P49" s="373">
        <f>SUM(Model!I48:M48)</f>
        <v>-804.96353452092535</v>
      </c>
      <c r="Q49" s="372">
        <f t="shared" si="1"/>
        <v>-804.96353452092535</v>
      </c>
      <c r="R49" s="371" cm="1">
        <f t="array" ref="R49">IF(SUM(ISBLANK(Model!I48:M48)*1)&gt;0,0,IF(P49=Q49,1,0))</f>
        <v>1</v>
      </c>
    </row>
    <row r="50" spans="1:18" ht="15" customHeight="1" outlineLevel="1">
      <c r="A50" s="7"/>
      <c r="B50" s="351" t="s">
        <v>188</v>
      </c>
      <c r="C50" s="18"/>
      <c r="F50" s="203">
        <v>-400</v>
      </c>
      <c r="G50" s="203">
        <v>-131</v>
      </c>
      <c r="H50" s="203">
        <v>-86</v>
      </c>
      <c r="I50" s="348">
        <f>Model!I226</f>
        <v>173.51756414041097</v>
      </c>
      <c r="J50" s="348">
        <f>Model!J226</f>
        <v>-59.251150452812681</v>
      </c>
      <c r="K50" s="348">
        <f>Model!K226</f>
        <v>-61.197408064691217</v>
      </c>
      <c r="L50" s="348">
        <f>Model!L226</f>
        <v>-51.152739030464318</v>
      </c>
      <c r="M50" s="348">
        <f>Model!M226</f>
        <v>-52.499473239378403</v>
      </c>
      <c r="P50" s="373">
        <f>SUM(Model!I49:M49)</f>
        <v>-50.58320664693565</v>
      </c>
      <c r="Q50" s="372">
        <f t="shared" si="1"/>
        <v>-50.58320664693565</v>
      </c>
      <c r="R50" s="371" cm="1">
        <f t="array" ref="R50">IF(SUM(ISBLANK(Model!I49:M49)*1)&gt;0,0,IF(P50=Q50,1,0))</f>
        <v>1</v>
      </c>
    </row>
    <row r="51" spans="1:18" ht="15" customHeight="1" outlineLevel="1">
      <c r="A51" s="7"/>
      <c r="B51" s="351" t="s">
        <v>187</v>
      </c>
      <c r="C51" s="18"/>
      <c r="F51" s="203">
        <v>-260</v>
      </c>
      <c r="G51" s="203">
        <v>181</v>
      </c>
      <c r="H51" s="203">
        <v>114</v>
      </c>
      <c r="I51" s="348">
        <f>Model!I227</f>
        <v>-382.22810262465782</v>
      </c>
      <c r="J51" s="348">
        <f>Model!J227</f>
        <v>94.80184072450038</v>
      </c>
      <c r="K51" s="348">
        <f>Model!K227</f>
        <v>97.91585290350622</v>
      </c>
      <c r="L51" s="348">
        <f>Model!L227</f>
        <v>81.844382448742635</v>
      </c>
      <c r="M51" s="348">
        <f>Model!M227</f>
        <v>83.999157183005536</v>
      </c>
      <c r="P51" s="373">
        <f>SUM(Model!I50:M50)</f>
        <v>-23.66686936490305</v>
      </c>
      <c r="Q51" s="372">
        <f t="shared" si="1"/>
        <v>-23.66686936490305</v>
      </c>
      <c r="R51" s="371" cm="1">
        <f t="array" ref="R51">IF(SUM(ISBLANK(Model!I50:M50)*1)&gt;0,0,IF(P51=Q51,1,0))</f>
        <v>1</v>
      </c>
    </row>
    <row r="52" spans="1:18" ht="15" customHeight="1" outlineLevel="1">
      <c r="A52" s="7"/>
      <c r="B52" s="18" t="s">
        <v>144</v>
      </c>
      <c r="C52" s="18"/>
      <c r="F52" s="347">
        <v>15655.7</v>
      </c>
      <c r="G52" s="347">
        <v>16011.850599999998</v>
      </c>
      <c r="H52" s="347">
        <v>17391.448499999999</v>
      </c>
      <c r="I52" s="346">
        <f ca="1">SUM(Model!I45:I50)</f>
        <v>16587.331861020353</v>
      </c>
      <c r="J52" s="346">
        <f ca="1">SUM(Model!J45:J50)</f>
        <v>16680.396342495853</v>
      </c>
      <c r="K52" s="346">
        <f ca="1">SUM(Model!K45:K50)</f>
        <v>16856.460466188822</v>
      </c>
      <c r="L52" s="346">
        <f ca="1">SUM(Model!L45:L50)</f>
        <v>17009.384942480039</v>
      </c>
      <c r="M52" s="346">
        <f ca="1">SUM(Model!M45:M50)</f>
        <v>16934.493183661154</v>
      </c>
      <c r="P52" s="370">
        <f ca="1">SUM(Model!I51:M51)</f>
        <v>84068.066795846215</v>
      </c>
      <c r="Q52" s="369">
        <f t="shared" ca="1" si="1"/>
        <v>84068.066795846215</v>
      </c>
      <c r="R52" s="368" cm="1">
        <f t="array" aca="1" ref="R52" ca="1">IF(SUM(ISBLANK(Model!I51:M51)*1)&gt;0,0,IF(P52=Q52,1,0))</f>
        <v>1</v>
      </c>
    </row>
    <row r="53" spans="1:18" ht="15" customHeight="1" outlineLevel="1">
      <c r="A53" s="7"/>
      <c r="B53" s="8" t="s">
        <v>183</v>
      </c>
      <c r="C53" s="8"/>
      <c r="F53" s="350"/>
      <c r="G53" s="350"/>
      <c r="H53" s="350"/>
      <c r="I53" s="349"/>
      <c r="J53" s="349"/>
      <c r="K53" s="349"/>
      <c r="L53" s="349"/>
      <c r="M53" s="349"/>
      <c r="P53" s="3"/>
    </row>
    <row r="54" spans="1:18" ht="15" customHeight="1" outlineLevel="1">
      <c r="A54" s="7"/>
      <c r="B54" s="8"/>
      <c r="C54" s="8"/>
      <c r="F54" s="350"/>
      <c r="G54" s="350"/>
      <c r="H54" s="350"/>
      <c r="I54" s="349"/>
      <c r="J54" s="349"/>
      <c r="K54" s="349"/>
      <c r="L54" s="349"/>
      <c r="M54" s="349"/>
      <c r="P54" s="3"/>
    </row>
    <row r="55" spans="1:18" ht="15" customHeight="1" outlineLevel="1" thickBot="1">
      <c r="A55" s="7"/>
      <c r="B55" s="21" t="s">
        <v>186</v>
      </c>
      <c r="C55" s="21"/>
      <c r="F55" s="350"/>
      <c r="G55" s="350"/>
      <c r="H55" s="350"/>
      <c r="I55" s="349"/>
      <c r="J55" s="349"/>
      <c r="K55" s="349"/>
      <c r="L55" s="349"/>
      <c r="M55" s="349"/>
      <c r="P55" s="52" t="s">
        <v>19</v>
      </c>
      <c r="Q55" s="51" t="s">
        <v>18</v>
      </c>
      <c r="R55" s="50" t="s">
        <v>17</v>
      </c>
    </row>
    <row r="56" spans="1:18" ht="15" customHeight="1" outlineLevel="1">
      <c r="A56" s="7"/>
      <c r="B56" s="18" t="s">
        <v>54</v>
      </c>
      <c r="C56" s="18"/>
      <c r="F56" s="203">
        <v>-9014.9999999999927</v>
      </c>
      <c r="G56" s="203">
        <v>-11733.000000000005</v>
      </c>
      <c r="H56" s="203">
        <v>-11130</v>
      </c>
      <c r="I56" s="345">
        <f>-Inputs!H22</f>
        <v>-25475</v>
      </c>
      <c r="J56" s="345">
        <f>-Inputs!I22</f>
        <v>-7050</v>
      </c>
      <c r="K56" s="345">
        <f>-Inputs!J22</f>
        <v>-7275</v>
      </c>
      <c r="L56" s="345">
        <f>-Inputs!K22</f>
        <v>-7200</v>
      </c>
      <c r="M56" s="345">
        <f>-Inputs!L22</f>
        <v>-7687.5</v>
      </c>
      <c r="P56" s="373">
        <f>SUM(Model!I55:M55)</f>
        <v>-54687.5</v>
      </c>
      <c r="Q56" s="372">
        <f>SUM(I56:M56)</f>
        <v>-54687.5</v>
      </c>
      <c r="R56" s="371" cm="1">
        <f t="array" ref="R56">IF(SUM(ISBLANK(Model!I55:M55)*1)&gt;0,0,IF(P56=Q56,1,0))</f>
        <v>1</v>
      </c>
    </row>
    <row r="57" spans="1:18" ht="15" customHeight="1" outlineLevel="1">
      <c r="A57" s="7"/>
      <c r="B57" s="18" t="s">
        <v>144</v>
      </c>
      <c r="C57" s="18"/>
      <c r="F57" s="347">
        <v>-9014.9999999999927</v>
      </c>
      <c r="G57" s="347">
        <v>-11733.000000000005</v>
      </c>
      <c r="H57" s="347">
        <v>-11130</v>
      </c>
      <c r="I57" s="346">
        <f>Model!I55</f>
        <v>-25475</v>
      </c>
      <c r="J57" s="346">
        <f>Model!J55</f>
        <v>-7050</v>
      </c>
      <c r="K57" s="346">
        <f>Model!K55</f>
        <v>-7275</v>
      </c>
      <c r="L57" s="346">
        <f>Model!L55</f>
        <v>-7200</v>
      </c>
      <c r="M57" s="346">
        <f>Model!M55</f>
        <v>-7687.5</v>
      </c>
      <c r="P57" s="370">
        <f>SUM(Model!I56:M56)</f>
        <v>-54687.5</v>
      </c>
      <c r="Q57" s="369">
        <f>SUM(I57:M57)</f>
        <v>-54687.5</v>
      </c>
      <c r="R57" s="368" cm="1">
        <f t="array" ref="R57">IF(SUM(ISBLANK(Model!I56:M56)*1)&gt;0,0,IF(P57=Q57,1,0))</f>
        <v>1</v>
      </c>
    </row>
    <row r="58" spans="1:18" ht="15" customHeight="1" outlineLevel="1">
      <c r="A58" s="7"/>
      <c r="B58" s="8" t="s">
        <v>183</v>
      </c>
      <c r="C58" s="8"/>
      <c r="F58" s="203"/>
      <c r="G58" s="203"/>
      <c r="H58" s="203"/>
      <c r="I58" s="280"/>
      <c r="J58" s="280"/>
      <c r="K58" s="280"/>
      <c r="L58" s="280"/>
      <c r="M58" s="280"/>
      <c r="P58" s="3"/>
    </row>
    <row r="59" spans="1:18" ht="15" customHeight="1" outlineLevel="1">
      <c r="A59" s="7"/>
      <c r="B59" s="8"/>
      <c r="C59" s="8"/>
      <c r="F59" s="203"/>
      <c r="G59" s="203"/>
      <c r="H59" s="203"/>
      <c r="I59" s="280"/>
      <c r="J59" s="280"/>
      <c r="K59" s="280"/>
      <c r="L59" s="280"/>
      <c r="M59" s="280"/>
      <c r="P59" s="3"/>
    </row>
    <row r="60" spans="1:18" ht="15" customHeight="1" outlineLevel="1" thickBot="1">
      <c r="A60" s="7"/>
      <c r="B60" s="21" t="s">
        <v>185</v>
      </c>
      <c r="C60" s="21"/>
      <c r="F60" s="203"/>
      <c r="G60" s="203"/>
      <c r="H60" s="203"/>
      <c r="I60" s="280"/>
      <c r="J60" s="280"/>
      <c r="K60" s="280"/>
      <c r="L60" s="280"/>
      <c r="M60" s="280"/>
      <c r="P60" s="52" t="s">
        <v>19</v>
      </c>
      <c r="Q60" s="51" t="s">
        <v>18</v>
      </c>
      <c r="R60" s="50" t="s">
        <v>17</v>
      </c>
    </row>
    <row r="61" spans="1:18" ht="15" customHeight="1" outlineLevel="1">
      <c r="A61" s="7"/>
      <c r="B61" s="18" t="s">
        <v>76</v>
      </c>
      <c r="C61" s="18"/>
      <c r="F61" s="203">
        <v>0</v>
      </c>
      <c r="G61" s="203">
        <v>-4000</v>
      </c>
      <c r="H61" s="203">
        <v>-4000</v>
      </c>
      <c r="I61" s="348">
        <f>Model!I370</f>
        <v>-4000</v>
      </c>
      <c r="J61" s="348">
        <f>Model!J370</f>
        <v>-4000</v>
      </c>
      <c r="K61" s="348">
        <f>Model!K370</f>
        <v>-4000</v>
      </c>
      <c r="L61" s="348">
        <f>Model!L370</f>
        <v>-4000</v>
      </c>
      <c r="M61" s="348">
        <f>Model!M370</f>
        <v>-4000</v>
      </c>
      <c r="P61" s="373">
        <f>SUM(Model!I60:M60)</f>
        <v>-20000</v>
      </c>
      <c r="Q61" s="372">
        <f>SUM(I61:M61)</f>
        <v>-20000</v>
      </c>
      <c r="R61" s="371" cm="1">
        <f t="array" ref="R61">IF(SUM(ISBLANK(Model!I60:M60)*1)&gt;0,0,IF(P61=Q61,1,0))</f>
        <v>1</v>
      </c>
    </row>
    <row r="62" spans="1:18" ht="15" customHeight="1" outlineLevel="1">
      <c r="A62" s="7"/>
      <c r="B62" s="18" t="s">
        <v>184</v>
      </c>
      <c r="C62" s="18"/>
      <c r="F62" s="203">
        <v>0</v>
      </c>
      <c r="G62" s="203">
        <v>0</v>
      </c>
      <c r="H62" s="203">
        <v>0</v>
      </c>
      <c r="I62" s="348">
        <f ca="1">Model!I402</f>
        <v>7528.8331348805696</v>
      </c>
      <c r="J62" s="348">
        <f ca="1">Model!J402</f>
        <v>-2680.01400114442</v>
      </c>
      <c r="K62" s="348">
        <f ca="1">Model!K402</f>
        <v>-2628.5709132454976</v>
      </c>
      <c r="L62" s="348">
        <f ca="1">Model!L402</f>
        <v>-2220.2482204906519</v>
      </c>
      <c r="M62" s="348">
        <f ca="1">Model!M402</f>
        <v>0</v>
      </c>
      <c r="P62" s="373">
        <f ca="1">SUM(Model!I61:M61)</f>
        <v>0</v>
      </c>
      <c r="Q62" s="372">
        <f ca="1">SUM(I62:M62)</f>
        <v>0</v>
      </c>
      <c r="R62" s="371" cm="1">
        <f t="array" aca="1" ref="R62" ca="1">IF(SUM(ISBLANK(Model!I61:M61)*1)&gt;0,0,IF(P62=Q62,1,0))</f>
        <v>1</v>
      </c>
    </row>
    <row r="63" spans="1:18" ht="15" customHeight="1" outlineLevel="1">
      <c r="A63" s="7"/>
      <c r="B63" s="18" t="s">
        <v>75</v>
      </c>
      <c r="C63" s="18"/>
      <c r="F63" s="203">
        <v>0</v>
      </c>
      <c r="G63" s="203">
        <v>0</v>
      </c>
      <c r="H63" s="203">
        <v>0</v>
      </c>
      <c r="I63" s="345">
        <f>Model!I427</f>
        <v>-1000</v>
      </c>
      <c r="J63" s="345">
        <f>Model!J427</f>
        <v>-1000</v>
      </c>
      <c r="K63" s="345">
        <f>Model!K427</f>
        <v>-1000</v>
      </c>
      <c r="L63" s="345">
        <f>Model!L427</f>
        <v>-1000</v>
      </c>
      <c r="M63" s="345">
        <f>Model!M427</f>
        <v>-1000</v>
      </c>
      <c r="P63" s="373">
        <f>SUM(Model!I62:M62)</f>
        <v>-5000</v>
      </c>
      <c r="Q63" s="372">
        <f>SUM(I63:M63)</f>
        <v>-5000</v>
      </c>
      <c r="R63" s="371" cm="1">
        <f t="array" ref="R63">IF(SUM(ISBLANK(Model!I62:M62)*1)&gt;0,0,IF(P63=Q63,1,0))</f>
        <v>1</v>
      </c>
    </row>
    <row r="64" spans="1:18" ht="15" customHeight="1" outlineLevel="1">
      <c r="A64" s="7"/>
      <c r="B64" s="18" t="s">
        <v>62</v>
      </c>
      <c r="C64" s="18"/>
      <c r="F64" s="203">
        <v>-3465</v>
      </c>
      <c r="G64" s="203">
        <v>-3761</v>
      </c>
      <c r="H64" s="203">
        <v>-3216</v>
      </c>
      <c r="I64" s="345">
        <f ca="1">-Model!I432</f>
        <v>-2051.1640959009196</v>
      </c>
      <c r="J64" s="345">
        <f ca="1">-Model!J432</f>
        <v>-1950.3823413514328</v>
      </c>
      <c r="K64" s="345">
        <f ca="1">-Model!K432</f>
        <v>-1952.8895529433248</v>
      </c>
      <c r="L64" s="345">
        <f ca="1">-Model!L432</f>
        <v>-1941.1350046771427</v>
      </c>
      <c r="M64" s="345">
        <f ca="1">-Model!M432</f>
        <v>-1876.7518041748526</v>
      </c>
      <c r="P64" s="373">
        <f ca="1">SUM(Model!I63:M63)</f>
        <v>-9772.3227990476735</v>
      </c>
      <c r="Q64" s="372">
        <f ca="1">SUM(I64:M64)</f>
        <v>-9772.3227990476735</v>
      </c>
      <c r="R64" s="371" cm="1">
        <f t="array" aca="1" ref="R64" ca="1">IF(SUM(ISBLANK(Model!I63:M63)*1)&gt;0,0,IF(P64=Q64,1,0))</f>
        <v>1</v>
      </c>
    </row>
    <row r="65" spans="1:18" ht="15" customHeight="1" outlineLevel="1">
      <c r="A65" s="7"/>
      <c r="B65" s="18" t="s">
        <v>144</v>
      </c>
      <c r="C65" s="18"/>
      <c r="F65" s="347">
        <v>-3465</v>
      </c>
      <c r="G65" s="347">
        <v>-7761</v>
      </c>
      <c r="H65" s="347">
        <v>-7216</v>
      </c>
      <c r="I65" s="346">
        <f ca="1">SUM(Model!I60:I63)</f>
        <v>477.66903897964994</v>
      </c>
      <c r="J65" s="346">
        <f ca="1">SUM(Model!J60:J63)</f>
        <v>-9630.3963424958529</v>
      </c>
      <c r="K65" s="346">
        <f ca="1">SUM(Model!K60:K63)</f>
        <v>-9581.4604661888225</v>
      </c>
      <c r="L65" s="346">
        <f ca="1">SUM(Model!L60:L63)</f>
        <v>-9161.3832251677941</v>
      </c>
      <c r="M65" s="346">
        <f ca="1">SUM(Model!M60:M63)</f>
        <v>-6876.7518041748526</v>
      </c>
      <c r="P65" s="370">
        <f ca="1">SUM(Model!I64:M64)</f>
        <v>-34772.322799047673</v>
      </c>
      <c r="Q65" s="369">
        <f ca="1">SUM(I65:M65)</f>
        <v>-34772.322799047673</v>
      </c>
      <c r="R65" s="368" cm="1">
        <f t="array" aca="1" ref="R65" ca="1">IF(SUM(ISBLANK(Model!I64:M64)*1)&gt;0,0,IF(P65=Q65,1,0))</f>
        <v>1</v>
      </c>
    </row>
    <row r="66" spans="1:18" ht="15" customHeight="1" outlineLevel="1">
      <c r="A66" s="7"/>
      <c r="B66" s="8" t="s">
        <v>183</v>
      </c>
      <c r="C66" s="8"/>
      <c r="F66" s="203"/>
      <c r="G66" s="203"/>
      <c r="H66" s="203"/>
      <c r="I66" s="339"/>
      <c r="J66" s="339"/>
      <c r="K66" s="280"/>
      <c r="L66" s="280"/>
      <c r="M66" s="280"/>
      <c r="P66" s="3"/>
    </row>
    <row r="67" spans="1:18" ht="15" customHeight="1" outlineLevel="1">
      <c r="A67" s="7"/>
      <c r="B67" s="8"/>
      <c r="C67" s="8"/>
      <c r="F67" s="203"/>
      <c r="G67" s="203"/>
      <c r="H67" s="203"/>
      <c r="I67" s="339"/>
      <c r="J67" s="339"/>
      <c r="K67" s="280"/>
      <c r="L67" s="280"/>
      <c r="M67" s="280"/>
      <c r="P67" s="3"/>
    </row>
    <row r="68" spans="1:18" ht="15" customHeight="1" outlineLevel="1" thickBot="1">
      <c r="A68" s="7"/>
      <c r="B68" s="21" t="s">
        <v>182</v>
      </c>
      <c r="C68" s="21"/>
      <c r="F68" s="203"/>
      <c r="G68" s="203"/>
      <c r="H68" s="203"/>
      <c r="I68" s="280"/>
      <c r="J68" s="280"/>
      <c r="K68" s="280"/>
      <c r="L68" s="280"/>
      <c r="M68" s="280"/>
      <c r="P68" s="52" t="s">
        <v>19</v>
      </c>
      <c r="Q68" s="51" t="s">
        <v>18</v>
      </c>
      <c r="R68" s="50" t="s">
        <v>17</v>
      </c>
    </row>
    <row r="69" spans="1:18" ht="15" customHeight="1" outlineLevel="1">
      <c r="A69" s="7"/>
      <c r="B69" s="18" t="s">
        <v>181</v>
      </c>
      <c r="C69" s="18"/>
      <c r="F69" s="203">
        <v>9671</v>
      </c>
      <c r="G69" s="203">
        <v>12846.700000000008</v>
      </c>
      <c r="H69" s="203">
        <v>9364.5506000000005</v>
      </c>
      <c r="I69" s="345">
        <f>Model!H70</f>
        <v>8409.9990999999991</v>
      </c>
      <c r="J69" s="345">
        <f ca="1">Model!I70</f>
        <v>0</v>
      </c>
      <c r="K69" s="345">
        <f ca="1">Model!J70</f>
        <v>0</v>
      </c>
      <c r="L69" s="345">
        <f ca="1">Model!K70</f>
        <v>0</v>
      </c>
      <c r="M69" s="345">
        <f ca="1">Model!L70</f>
        <v>648.00171731224509</v>
      </c>
      <c r="P69" s="373">
        <f ca="1">SUM(Model!I68:M68)</f>
        <v>9058.0008173122442</v>
      </c>
      <c r="Q69" s="372">
        <f ca="1">SUM(I69:M69)</f>
        <v>9058.0008173122442</v>
      </c>
      <c r="R69" s="371" cm="1">
        <f t="array" aca="1" ref="R69" ca="1">IF(SUM(ISBLANK(Model!I68:M68)*1)&gt;0,0,IF(P69=Q69,1,0))</f>
        <v>1</v>
      </c>
    </row>
    <row r="70" spans="1:18" ht="15" customHeight="1" outlineLevel="1">
      <c r="A70" s="7"/>
      <c r="B70" s="18" t="s">
        <v>43</v>
      </c>
      <c r="C70" s="18"/>
      <c r="F70" s="203">
        <v>3175.700000000008</v>
      </c>
      <c r="G70" s="203">
        <v>-3482.1494000000075</v>
      </c>
      <c r="H70" s="203">
        <v>-954.5515000000014</v>
      </c>
      <c r="I70" s="345">
        <f ca="1">Model!I51+Model!I56+Model!I64</f>
        <v>-8409.9990999999973</v>
      </c>
      <c r="J70" s="345">
        <f ca="1">Model!J51+Model!J56+Model!J64</f>
        <v>0</v>
      </c>
      <c r="K70" s="345">
        <f ca="1">Model!K51+Model!K56+Model!K64</f>
        <v>0</v>
      </c>
      <c r="L70" s="345">
        <f ca="1">Model!L51+Model!L56+Model!L64</f>
        <v>648.00171731224509</v>
      </c>
      <c r="M70" s="345">
        <f ca="1">Model!M51+Model!M56+Model!M64</f>
        <v>2370.2413794863014</v>
      </c>
      <c r="P70" s="373">
        <f ca="1">SUM(Model!I69:M69)</f>
        <v>-5391.7560032014508</v>
      </c>
      <c r="Q70" s="372">
        <f ca="1">SUM(I70:M70)</f>
        <v>-5391.7560032014508</v>
      </c>
      <c r="R70" s="371" cm="1">
        <f t="array" aca="1" ref="R70" ca="1">IF(SUM(ISBLANK(Model!I69:M69)*1)&gt;0,0,IF(P70=Q70,1,0))</f>
        <v>1</v>
      </c>
    </row>
    <row r="71" spans="1:18" ht="15" customHeight="1" outlineLevel="1" thickBot="1">
      <c r="A71" s="7"/>
      <c r="B71" s="18" t="s">
        <v>180</v>
      </c>
      <c r="C71" s="18"/>
      <c r="F71" s="344">
        <v>12846.700000000008</v>
      </c>
      <c r="G71" s="344">
        <v>9364.5506000000005</v>
      </c>
      <c r="H71" s="344">
        <v>8409.9990999999991</v>
      </c>
      <c r="I71" s="343">
        <f ca="1">SUM(Model!I68:I69)</f>
        <v>0</v>
      </c>
      <c r="J71" s="343">
        <f ca="1">SUM(Model!J68:J69)</f>
        <v>0</v>
      </c>
      <c r="K71" s="343">
        <f ca="1">SUM(Model!K68:K69)</f>
        <v>0</v>
      </c>
      <c r="L71" s="343">
        <f ca="1">SUM(Model!L68:L69)</f>
        <v>648.00171731224509</v>
      </c>
      <c r="M71" s="343">
        <f ca="1">SUM(Model!M68:M69)</f>
        <v>3018.2430967985465</v>
      </c>
      <c r="P71" s="370">
        <f ca="1">SUM(Model!I70:M70)</f>
        <v>3666.2448141107916</v>
      </c>
      <c r="Q71" s="369">
        <f ca="1">SUM(I71:M71)</f>
        <v>3666.2448141107916</v>
      </c>
      <c r="R71" s="368" cm="1">
        <f t="array" aca="1" ref="R71" ca="1">IF(SUM(ISBLANK(Model!I70:M70)*1)&gt;0,0,IF(P71=Q71,1,0))</f>
        <v>1</v>
      </c>
    </row>
    <row r="72" spans="1:18" ht="15" customHeight="1" outlineLevel="1">
      <c r="A72" s="7"/>
      <c r="B72" s="211"/>
      <c r="C72" s="40"/>
      <c r="D72" s="39"/>
      <c r="E72" s="39"/>
      <c r="F72" s="309"/>
      <c r="G72" s="309"/>
      <c r="H72" s="309"/>
      <c r="I72" s="309"/>
      <c r="J72" s="309"/>
      <c r="K72" s="309"/>
      <c r="L72" s="309"/>
      <c r="M72" s="309"/>
      <c r="P72" s="3"/>
    </row>
    <row r="73" spans="1:18" s="7" customFormat="1" ht="15" customHeight="1" outlineLevel="1">
      <c r="B73" s="283"/>
      <c r="C73" s="283"/>
      <c r="D73" s="282"/>
      <c r="E73" s="282"/>
      <c r="F73" s="325"/>
      <c r="G73" s="325"/>
      <c r="H73" s="325"/>
      <c r="I73" s="325"/>
      <c r="J73" s="325"/>
      <c r="K73" s="325"/>
      <c r="L73" s="325"/>
      <c r="M73" s="325"/>
    </row>
    <row r="74" spans="1:18" s="7" customFormat="1" ht="15" customHeight="1">
      <c r="B74" s="211"/>
      <c r="C74" s="278"/>
      <c r="D74" s="277"/>
      <c r="E74" s="8"/>
      <c r="F74" s="181"/>
      <c r="G74" s="181"/>
      <c r="H74" s="181"/>
      <c r="I74" s="181"/>
      <c r="J74" s="181"/>
      <c r="K74" s="181"/>
      <c r="L74" s="181"/>
      <c r="M74" s="181"/>
      <c r="N74" s="3"/>
      <c r="O74" s="3"/>
    </row>
    <row r="75" spans="1:18" s="149" customFormat="1" ht="15" customHeight="1">
      <c r="A75" s="7" t="s">
        <v>0</v>
      </c>
      <c r="B75" s="45" t="s">
        <v>179</v>
      </c>
      <c r="C75" s="44"/>
      <c r="D75" s="43"/>
      <c r="E75" s="43"/>
      <c r="F75" s="42"/>
      <c r="G75" s="42"/>
      <c r="H75" s="42"/>
      <c r="I75" s="42"/>
      <c r="J75" s="42"/>
      <c r="K75" s="42"/>
      <c r="L75" s="42"/>
      <c r="M75" s="42"/>
      <c r="P75" s="148"/>
    </row>
    <row r="76" spans="1:18" s="149" customFormat="1" ht="15" customHeight="1" outlineLevel="1">
      <c r="B76" s="147"/>
      <c r="C76" s="40"/>
      <c r="D76" s="146"/>
      <c r="E76" s="146"/>
      <c r="F76" s="145"/>
      <c r="G76" s="145"/>
      <c r="H76" s="145"/>
      <c r="I76" s="145"/>
      <c r="J76" s="145"/>
      <c r="K76" s="145"/>
      <c r="L76" s="145"/>
      <c r="M76" s="145"/>
    </row>
    <row r="77" spans="1:18" s="149" customFormat="1" ht="15" customHeight="1" outlineLevel="1" thickBot="1">
      <c r="B77" s="41" t="s">
        <v>15</v>
      </c>
      <c r="C77" s="40"/>
      <c r="D77" s="39"/>
      <c r="E77" s="39"/>
      <c r="F77" s="165">
        <f t="shared" ref="F77:M77" si="2">F$5</f>
        <v>2020</v>
      </c>
      <c r="G77" s="165">
        <f t="shared" si="2"/>
        <v>2021</v>
      </c>
      <c r="H77" s="165">
        <f t="shared" si="2"/>
        <v>2022</v>
      </c>
      <c r="I77" s="105">
        <f t="shared" si="2"/>
        <v>2023</v>
      </c>
      <c r="J77" s="105">
        <f t="shared" si="2"/>
        <v>2024</v>
      </c>
      <c r="K77" s="105">
        <f t="shared" si="2"/>
        <v>2025</v>
      </c>
      <c r="L77" s="105">
        <f t="shared" si="2"/>
        <v>2026</v>
      </c>
      <c r="M77" s="105">
        <f t="shared" si="2"/>
        <v>2027</v>
      </c>
    </row>
    <row r="78" spans="1:18" ht="15" customHeight="1" outlineLevel="1">
      <c r="A78" s="7"/>
      <c r="B78" s="41" t="str">
        <f>B$6</f>
        <v>Model Running: Base Case Drivers</v>
      </c>
      <c r="C78" s="40"/>
      <c r="D78" s="39"/>
      <c r="E78" s="39"/>
      <c r="F78" s="39"/>
      <c r="G78" s="39"/>
      <c r="H78" s="39"/>
      <c r="I78" s="159"/>
      <c r="J78" s="159"/>
      <c r="K78" s="159"/>
      <c r="L78" s="159"/>
      <c r="M78" s="159"/>
      <c r="P78" s="3"/>
    </row>
    <row r="79" spans="1:18" ht="15" customHeight="1" outlineLevel="1">
      <c r="A79" s="7"/>
      <c r="B79" s="41"/>
      <c r="C79" s="40"/>
      <c r="D79" s="39"/>
      <c r="E79" s="39"/>
      <c r="F79" s="39"/>
      <c r="G79" s="39"/>
      <c r="H79" s="39"/>
      <c r="I79" s="159"/>
      <c r="J79" s="159"/>
      <c r="K79" s="159"/>
      <c r="L79" s="159"/>
      <c r="M79" s="159"/>
      <c r="P79" s="3"/>
    </row>
    <row r="80" spans="1:18" ht="15" customHeight="1" outlineLevel="1">
      <c r="A80" s="7"/>
      <c r="B80" s="21" t="s">
        <v>178</v>
      </c>
      <c r="C80" s="21"/>
      <c r="F80" s="285"/>
      <c r="G80" s="285"/>
      <c r="H80" s="285"/>
      <c r="I80" s="280"/>
      <c r="J80" s="280"/>
      <c r="K80" s="280"/>
      <c r="L80" s="280"/>
      <c r="M80" s="280"/>
      <c r="P80" s="3"/>
    </row>
    <row r="81" spans="1:18" ht="15" customHeight="1" outlineLevel="1" thickBot="1">
      <c r="A81" s="7"/>
      <c r="B81" s="21"/>
      <c r="C81" s="21"/>
      <c r="F81" s="285"/>
      <c r="G81" s="285"/>
      <c r="H81" s="285"/>
      <c r="I81" s="280"/>
      <c r="J81" s="280"/>
      <c r="K81" s="280"/>
      <c r="L81" s="280"/>
      <c r="M81" s="280"/>
      <c r="P81" s="52" t="s">
        <v>19</v>
      </c>
      <c r="Q81" s="51" t="s">
        <v>18</v>
      </c>
      <c r="R81" s="50" t="s">
        <v>17</v>
      </c>
    </row>
    <row r="82" spans="1:18" ht="15" customHeight="1" outlineLevel="1">
      <c r="A82" s="7"/>
      <c r="B82" s="18" t="s">
        <v>177</v>
      </c>
      <c r="C82" s="18"/>
      <c r="F82" s="338">
        <v>12846.700000000008</v>
      </c>
      <c r="G82" s="338">
        <v>9364.5506000000005</v>
      </c>
      <c r="H82" s="338">
        <v>8409.9990999999991</v>
      </c>
      <c r="I82" s="17">
        <f ca="1">Model!I70</f>
        <v>0</v>
      </c>
      <c r="J82" s="17">
        <f ca="1">Model!J70</f>
        <v>0</v>
      </c>
      <c r="K82" s="17">
        <f ca="1">Model!K70</f>
        <v>0</v>
      </c>
      <c r="L82" s="17">
        <f ca="1">Model!L70</f>
        <v>648.00171731224509</v>
      </c>
      <c r="M82" s="17">
        <f ca="1">Model!M70</f>
        <v>3018.2430967985465</v>
      </c>
      <c r="P82" s="373">
        <f ca="1">SUM(Model!I81:M81)</f>
        <v>3666.2448141107916</v>
      </c>
      <c r="Q82" s="372">
        <f ca="1">SUM(I82:M82)</f>
        <v>3666.2448141107916</v>
      </c>
      <c r="R82" s="371" cm="1">
        <f t="array" aca="1" ref="R82" ca="1">IF(SUM(ISBLANK(Model!I81:M81)*1)&gt;0,0,IF(P82=Q82,1,0))</f>
        <v>1</v>
      </c>
    </row>
    <row r="83" spans="1:18" ht="15" customHeight="1" outlineLevel="1">
      <c r="A83" s="7"/>
      <c r="B83" s="18" t="s">
        <v>51</v>
      </c>
      <c r="C83" s="18"/>
      <c r="F83" s="338">
        <v>5708</v>
      </c>
      <c r="G83" s="338">
        <v>6333</v>
      </c>
      <c r="H83" s="338">
        <v>6624</v>
      </c>
      <c r="I83" s="340">
        <f>Model!I217</f>
        <v>6963.4293300000008</v>
      </c>
      <c r="J83" s="340">
        <f>Model!J217</f>
        <v>7103.394259533</v>
      </c>
      <c r="K83" s="340">
        <f>Model!K217</f>
        <v>7246.1724841496152</v>
      </c>
      <c r="L83" s="340">
        <f>Model!L217</f>
        <v>7355.2273800360654</v>
      </c>
      <c r="M83" s="340">
        <f>Model!M217</f>
        <v>7428.9635345209254</v>
      </c>
      <c r="P83" s="373">
        <f>SUM(Model!I82:M82)</f>
        <v>36097.186988239606</v>
      </c>
      <c r="Q83" s="372">
        <f>SUM(I83:M83)</f>
        <v>36097.186988239606</v>
      </c>
      <c r="R83" s="371" cm="1">
        <f t="array" ref="R83">IF(SUM(ISBLANK(Model!I82:M82)*1)&gt;0,0,IF(P83=Q83,1,0))</f>
        <v>1</v>
      </c>
    </row>
    <row r="84" spans="1:18" ht="15" customHeight="1" outlineLevel="1">
      <c r="A84" s="7"/>
      <c r="B84" s="18" t="s">
        <v>176</v>
      </c>
      <c r="C84" s="18"/>
      <c r="F84" s="342">
        <v>1792</v>
      </c>
      <c r="G84" s="342">
        <v>1923</v>
      </c>
      <c r="H84" s="342">
        <v>2009</v>
      </c>
      <c r="I84" s="341">
        <f>Model!I218</f>
        <v>1835.482435859589</v>
      </c>
      <c r="J84" s="341">
        <f>Model!J218</f>
        <v>1894.7335863124017</v>
      </c>
      <c r="K84" s="341">
        <f>Model!K218</f>
        <v>1955.9309943770929</v>
      </c>
      <c r="L84" s="341">
        <f>Model!L218</f>
        <v>2007.0837334075572</v>
      </c>
      <c r="M84" s="341">
        <f>Model!M218</f>
        <v>2059.5832066469357</v>
      </c>
      <c r="P84" s="373">
        <f>SUM(Model!I83:M83)</f>
        <v>9752.813956603577</v>
      </c>
      <c r="Q84" s="372">
        <f>SUM(I84:M84)</f>
        <v>9752.813956603577</v>
      </c>
      <c r="R84" s="371" cm="1">
        <f t="array" ref="R84">IF(SUM(ISBLANK(Model!I83:M83)*1)&gt;0,0,IF(P84=Q84,1,0))</f>
        <v>1</v>
      </c>
    </row>
    <row r="85" spans="1:18" ht="15" customHeight="1" outlineLevel="1">
      <c r="A85" s="7"/>
      <c r="B85" s="18" t="s">
        <v>175</v>
      </c>
      <c r="C85" s="18"/>
      <c r="F85" s="338">
        <v>20346.700000000008</v>
      </c>
      <c r="G85" s="338">
        <v>17620.550600000002</v>
      </c>
      <c r="H85" s="338">
        <v>17042.999100000001</v>
      </c>
      <c r="I85" s="340">
        <f ca="1">SUM(Model!I81:I83)</f>
        <v>8798.9117658595897</v>
      </c>
      <c r="J85" s="340">
        <f ca="1">SUM(Model!J81:J83)</f>
        <v>8998.1278458454017</v>
      </c>
      <c r="K85" s="340">
        <f ca="1">SUM(Model!K81:K83)</f>
        <v>9202.1034785267075</v>
      </c>
      <c r="L85" s="340">
        <f ca="1">SUM(Model!L81:L83)</f>
        <v>10010.312830755867</v>
      </c>
      <c r="M85" s="340">
        <f ca="1">SUM(Model!M81:M83)</f>
        <v>12506.789837966408</v>
      </c>
      <c r="P85" s="370">
        <f ca="1">SUM(Model!I84:M84)</f>
        <v>49516.24575895397</v>
      </c>
      <c r="Q85" s="369">
        <f ca="1">SUM(I85:M85)</f>
        <v>49516.24575895397</v>
      </c>
      <c r="R85" s="368" cm="1">
        <f t="array" aca="1" ref="R85" ca="1">IF(SUM(ISBLANK(Model!I84:M84)*1)&gt;0,0,IF(P85=Q85,1,0))</f>
        <v>1</v>
      </c>
    </row>
    <row r="86" spans="1:18" ht="15" customHeight="1" outlineLevel="1">
      <c r="A86" s="7"/>
      <c r="B86" s="330"/>
      <c r="C86" s="330"/>
      <c r="F86" s="336"/>
      <c r="G86" s="336"/>
      <c r="H86" s="336"/>
      <c r="I86" s="150"/>
      <c r="J86" s="150"/>
      <c r="K86" s="150"/>
      <c r="L86" s="150"/>
      <c r="M86" s="150"/>
      <c r="P86" s="3"/>
    </row>
    <row r="87" spans="1:18" ht="15" customHeight="1" outlineLevel="1">
      <c r="A87" s="7"/>
      <c r="B87" s="18" t="s">
        <v>174</v>
      </c>
      <c r="C87" s="18"/>
      <c r="F87" s="336">
        <v>59192</v>
      </c>
      <c r="G87" s="336">
        <v>67729</v>
      </c>
      <c r="H87" s="336">
        <v>75407</v>
      </c>
      <c r="I87" s="337">
        <f>Model!I293</f>
        <v>95532.1875</v>
      </c>
      <c r="J87" s="337">
        <f>Model!J293</f>
        <v>96419.25</v>
      </c>
      <c r="K87" s="337">
        <f>Model!K293</f>
        <v>97173.1875</v>
      </c>
      <c r="L87" s="337">
        <f>Model!L293</f>
        <v>97490.25</v>
      </c>
      <c r="M87" s="337">
        <f>Model!M293</f>
        <v>97922.625</v>
      </c>
      <c r="P87" s="49">
        <f>SUM(Model!I86:M86)</f>
        <v>484537.5</v>
      </c>
      <c r="Q87" s="48">
        <f>SUM(I87:M87)</f>
        <v>484537.5</v>
      </c>
      <c r="R87" s="47" cm="1">
        <f t="array" ref="R87">IF(SUM(ISBLANK(Model!I86:M86)*1)&gt;0,0,IF(P87=Q87,1,0))</f>
        <v>1</v>
      </c>
    </row>
    <row r="88" spans="1:18" ht="15" customHeight="1" outlineLevel="1">
      <c r="A88" s="7"/>
      <c r="B88" s="18"/>
      <c r="C88" s="18"/>
      <c r="D88" s="339"/>
      <c r="F88" s="336"/>
      <c r="G88" s="336"/>
      <c r="H88" s="336"/>
      <c r="I88" s="150"/>
      <c r="J88" s="150"/>
      <c r="K88" s="150"/>
      <c r="L88" s="150"/>
      <c r="M88" s="150"/>
      <c r="P88" s="3"/>
    </row>
    <row r="89" spans="1:18" ht="15" customHeight="1" outlineLevel="1">
      <c r="A89" s="7"/>
      <c r="B89" s="18"/>
      <c r="C89" s="18"/>
      <c r="D89" s="339"/>
      <c r="F89" s="336"/>
      <c r="G89" s="336"/>
      <c r="H89" s="336"/>
      <c r="I89" s="150"/>
      <c r="J89" s="150"/>
      <c r="K89" s="150"/>
      <c r="L89" s="150"/>
      <c r="M89" s="150"/>
    </row>
    <row r="90" spans="1:18" ht="15" customHeight="1" outlineLevel="1" thickBot="1">
      <c r="A90" s="7"/>
      <c r="B90" s="18" t="s">
        <v>173</v>
      </c>
      <c r="C90" s="330"/>
      <c r="F90" s="329">
        <v>79538.700000000012</v>
      </c>
      <c r="G90" s="329">
        <v>85349.550600000002</v>
      </c>
      <c r="H90" s="329">
        <v>92449.999100000001</v>
      </c>
      <c r="I90" s="328">
        <f ca="1">Model!I86+Model!I84</f>
        <v>104331.09926585959</v>
      </c>
      <c r="J90" s="328">
        <f ca="1">Model!J86+Model!J84</f>
        <v>105417.3778458454</v>
      </c>
      <c r="K90" s="328">
        <f ca="1">Model!K86+Model!K84</f>
        <v>106375.29097852671</v>
      </c>
      <c r="L90" s="328">
        <f ca="1">Model!L86+Model!L84</f>
        <v>107500.56283075587</v>
      </c>
      <c r="M90" s="328">
        <f ca="1">Model!M86+Model!M84</f>
        <v>110429.41483796641</v>
      </c>
      <c r="P90" s="49">
        <f ca="1">SUM(Model!I89:M89)</f>
        <v>534053.74575895397</v>
      </c>
      <c r="Q90" s="48">
        <f ca="1">SUM(I90:M90)</f>
        <v>534053.74575895397</v>
      </c>
      <c r="R90" s="47" cm="1">
        <f t="array" aca="1" ref="R90" ca="1">IF(SUM(ISBLANK(Model!I89:M89)*1)&gt;0,0,IF(P90=Q90,1,0))</f>
        <v>1</v>
      </c>
    </row>
    <row r="91" spans="1:18" ht="15" customHeight="1" outlineLevel="1">
      <c r="A91" s="7"/>
      <c r="B91" s="8"/>
      <c r="C91" s="8"/>
      <c r="F91" s="336"/>
      <c r="G91" s="336"/>
      <c r="H91" s="336"/>
      <c r="I91" s="150"/>
      <c r="J91" s="150"/>
      <c r="K91" s="150"/>
      <c r="L91" s="150"/>
      <c r="M91" s="150"/>
      <c r="P91" s="3"/>
    </row>
    <row r="92" spans="1:18" ht="15" customHeight="1" outlineLevel="1">
      <c r="A92" s="7"/>
      <c r="B92" s="21"/>
      <c r="C92" s="21"/>
      <c r="F92" s="336"/>
      <c r="G92" s="336"/>
      <c r="H92" s="336"/>
      <c r="I92" s="150"/>
      <c r="J92" s="150"/>
      <c r="K92" s="150"/>
      <c r="L92" s="150"/>
      <c r="M92" s="150"/>
      <c r="P92" s="3"/>
    </row>
    <row r="93" spans="1:18" ht="15" customHeight="1" outlineLevel="1">
      <c r="A93" s="7"/>
      <c r="B93" s="21" t="s">
        <v>172</v>
      </c>
      <c r="C93" s="21"/>
      <c r="F93" s="336"/>
      <c r="G93" s="336"/>
      <c r="H93" s="336"/>
      <c r="I93" s="150"/>
      <c r="J93" s="150"/>
      <c r="K93" s="150"/>
      <c r="L93" s="150"/>
      <c r="M93" s="150"/>
      <c r="P93" s="3"/>
    </row>
    <row r="94" spans="1:18" ht="15" customHeight="1" outlineLevel="1" thickBot="1">
      <c r="A94" s="7"/>
      <c r="B94" s="21"/>
      <c r="C94" s="21"/>
      <c r="F94" s="336"/>
      <c r="G94" s="336"/>
      <c r="H94" s="336"/>
      <c r="I94" s="150"/>
      <c r="J94" s="150"/>
      <c r="K94" s="150"/>
      <c r="L94" s="150"/>
      <c r="M94" s="150"/>
      <c r="P94" s="52" t="s">
        <v>19</v>
      </c>
      <c r="Q94" s="51" t="s">
        <v>18</v>
      </c>
      <c r="R94" s="50" t="s">
        <v>17</v>
      </c>
    </row>
    <row r="95" spans="1:18" ht="15" customHeight="1" outlineLevel="1">
      <c r="A95" s="7"/>
      <c r="B95" s="18" t="s">
        <v>49</v>
      </c>
      <c r="C95" s="18"/>
      <c r="F95" s="336">
        <v>3024</v>
      </c>
      <c r="G95" s="336">
        <v>3205</v>
      </c>
      <c r="H95" s="336">
        <v>3319</v>
      </c>
      <c r="I95" s="337">
        <f>Model!I219</f>
        <v>2936.7718973753422</v>
      </c>
      <c r="J95" s="337">
        <f>Model!J219</f>
        <v>3031.5737380998426</v>
      </c>
      <c r="K95" s="337">
        <f>Model!K219</f>
        <v>3129.4895910033488</v>
      </c>
      <c r="L95" s="337">
        <f>Model!L219</f>
        <v>3211.3339734520914</v>
      </c>
      <c r="M95" s="337">
        <f>Model!M219</f>
        <v>3295.3331306350969</v>
      </c>
      <c r="P95" s="373">
        <f>SUM(Model!I94:M94)</f>
        <v>15604.502330565721</v>
      </c>
      <c r="Q95" s="372">
        <f>SUM(I95:M95)</f>
        <v>15604.502330565721</v>
      </c>
      <c r="R95" s="371" cm="1">
        <f t="array" ref="R95">IF(SUM(ISBLANK(Model!I94:M94)*1)&gt;0,0,IF(P95=Q95,1,0))</f>
        <v>1</v>
      </c>
    </row>
    <row r="96" spans="1:18" ht="15" customHeight="1" outlineLevel="1">
      <c r="A96" s="7"/>
      <c r="B96" s="18" t="s">
        <v>24</v>
      </c>
      <c r="C96" s="18"/>
      <c r="D96" s="203"/>
      <c r="F96" s="338">
        <v>0</v>
      </c>
      <c r="G96" s="338">
        <v>0</v>
      </c>
      <c r="H96" s="338">
        <v>0</v>
      </c>
      <c r="I96" s="17">
        <f ca="1">Model!I403</f>
        <v>7528.8331348805696</v>
      </c>
      <c r="J96" s="17">
        <f ca="1">Model!J403</f>
        <v>4848.8191337361495</v>
      </c>
      <c r="K96" s="17">
        <f ca="1">Model!K403</f>
        <v>2220.2482204906519</v>
      </c>
      <c r="L96" s="17">
        <f ca="1">Model!L403</f>
        <v>0</v>
      </c>
      <c r="M96" s="17">
        <f ca="1">Model!M403</f>
        <v>0</v>
      </c>
      <c r="P96" s="373">
        <f ca="1">SUM(Model!I95:M95)</f>
        <v>14597.900489107371</v>
      </c>
      <c r="Q96" s="372">
        <f ca="1">SUM(I96:M96)</f>
        <v>14597.900489107371</v>
      </c>
      <c r="R96" s="371" cm="1">
        <f t="array" aca="1" ref="R96" ca="1">IF(SUM(ISBLANK(Model!I95:M95)*1)&gt;0,0,IF(P96=Q96,1,0))</f>
        <v>1</v>
      </c>
    </row>
    <row r="97" spans="1:18" ht="15" customHeight="1" outlineLevel="1">
      <c r="A97" s="7"/>
      <c r="B97" s="18" t="s">
        <v>171</v>
      </c>
      <c r="C97" s="18"/>
      <c r="F97" s="334">
        <v>3024</v>
      </c>
      <c r="G97" s="334">
        <v>3205</v>
      </c>
      <c r="H97" s="334">
        <v>3319</v>
      </c>
      <c r="I97" s="333">
        <f ca="1">SUM(Model!I94:I95)</f>
        <v>10465.605032255911</v>
      </c>
      <c r="J97" s="333">
        <f ca="1">SUM(Model!J94:J95)</f>
        <v>7880.3928718359921</v>
      </c>
      <c r="K97" s="333">
        <f ca="1">SUM(Model!K94:K95)</f>
        <v>5349.7378114940002</v>
      </c>
      <c r="L97" s="333">
        <f ca="1">SUM(Model!L94:L95)</f>
        <v>3211.3339734520914</v>
      </c>
      <c r="M97" s="333">
        <f ca="1">SUM(Model!M94:M95)</f>
        <v>3295.3331306350969</v>
      </c>
      <c r="P97" s="370">
        <f ca="1">SUM(Model!I96:M96)</f>
        <v>30202.402819673091</v>
      </c>
      <c r="Q97" s="369">
        <f ca="1">SUM(I97:M97)</f>
        <v>30202.402819673091</v>
      </c>
      <c r="R97" s="368" cm="1">
        <f t="array" aca="1" ref="R97" ca="1">IF(SUM(ISBLANK(Model!I96:M96)*1)&gt;0,0,IF(P97=Q97,1,0))</f>
        <v>1</v>
      </c>
    </row>
    <row r="98" spans="1:18" ht="15" customHeight="1" outlineLevel="1">
      <c r="A98" s="7"/>
      <c r="B98" s="330"/>
      <c r="C98" s="330"/>
      <c r="F98" s="336"/>
      <c r="G98" s="336"/>
      <c r="H98" s="336"/>
      <c r="I98" s="150"/>
      <c r="J98" s="150"/>
      <c r="K98" s="150"/>
      <c r="L98" s="150"/>
      <c r="M98" s="150"/>
      <c r="P98" s="3"/>
    </row>
    <row r="99" spans="1:18" ht="15" customHeight="1" outlineLevel="1">
      <c r="A99" s="7"/>
      <c r="B99" s="18" t="s">
        <v>89</v>
      </c>
      <c r="C99" s="18"/>
      <c r="F99" s="336">
        <v>4155</v>
      </c>
      <c r="G99" s="336">
        <v>7016</v>
      </c>
      <c r="H99" s="336">
        <v>10028</v>
      </c>
      <c r="I99" s="335">
        <f ca="1">H99+Model!I340</f>
        <v>11557.838749999999</v>
      </c>
      <c r="J99" s="335">
        <f ca="1">I99+Model!J340</f>
        <v>12427.800124999998</v>
      </c>
      <c r="K99" s="335">
        <f ca="1">J99+Model!K340</f>
        <v>13104.810106249997</v>
      </c>
      <c r="L99" s="335">
        <f ca="1">K99+Model!L340</f>
        <v>13603.945777812496</v>
      </c>
      <c r="M99" s="335">
        <f ca="1">L99+Model!M340</f>
        <v>13941.791411140621</v>
      </c>
      <c r="P99" s="376">
        <f ca="1">SUM(Model!I98:M98)</f>
        <v>64636.186170203109</v>
      </c>
      <c r="Q99" s="375">
        <f ca="1">SUM(I99:M99)</f>
        <v>64636.186170203109</v>
      </c>
      <c r="R99" s="374" cm="1">
        <f t="array" aca="1" ref="R99" ca="1">IF(SUM(ISBLANK(Model!I98:M98)*1)&gt;0,0,IF(P99=Q99,1,0))</f>
        <v>1</v>
      </c>
    </row>
    <row r="100" spans="1:18" ht="15" customHeight="1" outlineLevel="1">
      <c r="A100" s="7"/>
      <c r="B100" s="18" t="s">
        <v>170</v>
      </c>
      <c r="C100" s="18"/>
      <c r="F100" s="336">
        <v>28000</v>
      </c>
      <c r="G100" s="336">
        <v>24000</v>
      </c>
      <c r="H100" s="336">
        <v>20000</v>
      </c>
      <c r="I100" s="337">
        <f>Model!I371</f>
        <v>16000</v>
      </c>
      <c r="J100" s="337">
        <f>Model!J371</f>
        <v>12000</v>
      </c>
      <c r="K100" s="337">
        <f>Model!K371</f>
        <v>8000</v>
      </c>
      <c r="L100" s="337">
        <f>Model!L371</f>
        <v>4000</v>
      </c>
      <c r="M100" s="337">
        <f>Model!M371</f>
        <v>0</v>
      </c>
      <c r="P100" s="373">
        <f>SUM(Model!I99:M99)</f>
        <v>40000</v>
      </c>
      <c r="Q100" s="372">
        <f>SUM(I100:M100)</f>
        <v>40000</v>
      </c>
      <c r="R100" s="371" cm="1">
        <f t="array" ref="R100">IF(SUM(ISBLANK(Model!I99:M99)*1)&gt;0,0,IF(P100=Q100,1,0))</f>
        <v>1</v>
      </c>
    </row>
    <row r="101" spans="1:18" ht="15" customHeight="1" outlineLevel="1">
      <c r="A101" s="7"/>
      <c r="B101" s="18" t="s">
        <v>169</v>
      </c>
      <c r="C101" s="18"/>
      <c r="F101" s="334">
        <v>35179</v>
      </c>
      <c r="G101" s="334">
        <v>34221</v>
      </c>
      <c r="H101" s="334">
        <v>33347</v>
      </c>
      <c r="I101" s="333">
        <f ca="1">SUM(Model!I98:I99)+Model!I96</f>
        <v>38023.443782255912</v>
      </c>
      <c r="J101" s="333">
        <f ca="1">SUM(Model!J98:J99)+Model!J96</f>
        <v>32308.192996835991</v>
      </c>
      <c r="K101" s="333">
        <f ca="1">SUM(Model!K98:K99)+Model!K96</f>
        <v>26454.547917743999</v>
      </c>
      <c r="L101" s="333">
        <f ca="1">SUM(Model!L98:L99)+Model!L96</f>
        <v>20815.279751264588</v>
      </c>
      <c r="M101" s="333">
        <f ca="1">SUM(Model!M98:M99)+Model!M96</f>
        <v>17237.124541775716</v>
      </c>
      <c r="P101" s="370">
        <f ca="1">SUM(Model!I100:M100)</f>
        <v>134838.58898987621</v>
      </c>
      <c r="Q101" s="369">
        <f ca="1">SUM(I101:M101)</f>
        <v>134838.58898987621</v>
      </c>
      <c r="R101" s="368" cm="1">
        <f t="array" aca="1" ref="R101" ca="1">IF(SUM(ISBLANK(Model!I100:M100)*1)&gt;0,0,IF(P101=Q101,1,0))</f>
        <v>1</v>
      </c>
    </row>
    <row r="102" spans="1:18" ht="15" customHeight="1" outlineLevel="1">
      <c r="A102" s="7"/>
      <c r="B102" s="330"/>
      <c r="C102" s="330"/>
      <c r="F102" s="336"/>
      <c r="G102" s="336"/>
      <c r="H102" s="336"/>
      <c r="I102" s="150"/>
      <c r="J102" s="150"/>
      <c r="K102" s="150"/>
      <c r="L102" s="150"/>
      <c r="M102" s="150"/>
      <c r="P102" s="3"/>
    </row>
    <row r="103" spans="1:18" ht="15" customHeight="1" outlineLevel="1">
      <c r="A103" s="7"/>
      <c r="B103" s="330"/>
      <c r="C103" s="330"/>
      <c r="F103" s="336"/>
      <c r="G103" s="336"/>
      <c r="H103" s="336"/>
      <c r="I103" s="150"/>
      <c r="J103" s="150"/>
      <c r="K103" s="150"/>
      <c r="L103" s="150"/>
      <c r="M103" s="150"/>
      <c r="P103" s="3"/>
    </row>
    <row r="104" spans="1:18" ht="15" customHeight="1" outlineLevel="1">
      <c r="A104" s="7"/>
      <c r="B104" s="21" t="s">
        <v>168</v>
      </c>
      <c r="C104" s="21"/>
      <c r="F104" s="336"/>
      <c r="G104" s="336"/>
      <c r="H104" s="336"/>
      <c r="I104" s="150"/>
      <c r="J104" s="150"/>
      <c r="K104" s="150"/>
      <c r="L104" s="150"/>
      <c r="M104" s="150"/>
      <c r="P104" s="3"/>
    </row>
    <row r="105" spans="1:18" ht="15" customHeight="1" outlineLevel="1" thickBot="1">
      <c r="A105" s="7"/>
      <c r="B105" s="21"/>
      <c r="C105" s="21"/>
      <c r="F105" s="336"/>
      <c r="G105" s="336"/>
      <c r="H105" s="336"/>
      <c r="I105" s="150"/>
      <c r="J105" s="150"/>
      <c r="K105" s="150"/>
      <c r="L105" s="150"/>
      <c r="M105" s="150"/>
      <c r="P105" s="52" t="s">
        <v>19</v>
      </c>
      <c r="Q105" s="51" t="s">
        <v>18</v>
      </c>
      <c r="R105" s="50" t="s">
        <v>17</v>
      </c>
    </row>
    <row r="106" spans="1:18" ht="15" customHeight="1" outlineLevel="1">
      <c r="A106" s="7"/>
      <c r="B106" s="18" t="s">
        <v>44</v>
      </c>
      <c r="C106" s="18"/>
      <c r="F106" s="336">
        <v>38669.700000000084</v>
      </c>
      <c r="G106" s="336">
        <v>38669.700000000084</v>
      </c>
      <c r="H106" s="336">
        <v>38669.700000000084</v>
      </c>
      <c r="I106" s="335">
        <f>Model!I428</f>
        <v>37669.700000000084</v>
      </c>
      <c r="J106" s="335">
        <f>Model!J428</f>
        <v>36669.700000000084</v>
      </c>
      <c r="K106" s="335">
        <f>Model!K428</f>
        <v>35669.700000000084</v>
      </c>
      <c r="L106" s="335">
        <f>Model!L428</f>
        <v>34669.700000000084</v>
      </c>
      <c r="M106" s="335">
        <f>Model!M428</f>
        <v>33669.700000000084</v>
      </c>
      <c r="P106" s="373">
        <f>SUM(Model!I105:M105)</f>
        <v>178348.50000000041</v>
      </c>
      <c r="Q106" s="372">
        <f>SUM(I106:M106)</f>
        <v>178348.50000000041</v>
      </c>
      <c r="R106" s="371" cm="1">
        <f t="array" ref="R106">IF(SUM(ISBLANK(Model!I105:M105)*1)&gt;0,0,IF(P106=Q106,1,0))</f>
        <v>1</v>
      </c>
    </row>
    <row r="107" spans="1:18" ht="15" customHeight="1" outlineLevel="1">
      <c r="A107" s="7"/>
      <c r="B107" s="18" t="s">
        <v>167</v>
      </c>
      <c r="C107" s="18"/>
      <c r="F107" s="336">
        <v>5690</v>
      </c>
      <c r="G107" s="336">
        <v>12458.850599999998</v>
      </c>
      <c r="H107" s="336">
        <v>20433.299099999997</v>
      </c>
      <c r="I107" s="335">
        <f ca="1">Model!I442</f>
        <v>28637.955483603673</v>
      </c>
      <c r="J107" s="335">
        <f ca="1">Model!J442</f>
        <v>36439.484849009401</v>
      </c>
      <c r="K107" s="335">
        <f ca="1">Model!K442</f>
        <v>44251.0430607827</v>
      </c>
      <c r="L107" s="335">
        <f ca="1">Model!L442</f>
        <v>52015.583079491276</v>
      </c>
      <c r="M107" s="335">
        <f ca="1">Model!M442</f>
        <v>59522.590296190683</v>
      </c>
      <c r="P107" s="373">
        <f ca="1">SUM(Model!I106:M106)</f>
        <v>220866.65676907776</v>
      </c>
      <c r="Q107" s="372">
        <f ca="1">SUM(I107:M107)</f>
        <v>220866.65676907776</v>
      </c>
      <c r="R107" s="371" cm="1">
        <f t="array" aca="1" ref="R107" ca="1">IF(SUM(ISBLANK(Model!I106:M106)*1)&gt;0,0,IF(P107=Q107,1,0))</f>
        <v>1</v>
      </c>
    </row>
    <row r="108" spans="1:18" ht="15" customHeight="1" outlineLevel="1">
      <c r="A108" s="7"/>
      <c r="B108" s="18" t="s">
        <v>166</v>
      </c>
      <c r="C108" s="18"/>
      <c r="F108" s="334">
        <v>44359.700000000084</v>
      </c>
      <c r="G108" s="334">
        <v>51128.550600000082</v>
      </c>
      <c r="H108" s="334">
        <v>59102.999100000081</v>
      </c>
      <c r="I108" s="333">
        <f ca="1">SUM(Model!I105:I106)</f>
        <v>66307.655483603754</v>
      </c>
      <c r="J108" s="333">
        <f ca="1">SUM(Model!J105:J106)</f>
        <v>73109.184849009485</v>
      </c>
      <c r="K108" s="333">
        <f ca="1">SUM(Model!K105:K106)</f>
        <v>79920.743060782785</v>
      </c>
      <c r="L108" s="333">
        <f ca="1">SUM(Model!L105:L106)</f>
        <v>86685.283079491361</v>
      </c>
      <c r="M108" s="333">
        <f ca="1">SUM(Model!M105:M106)</f>
        <v>93192.290296190768</v>
      </c>
      <c r="P108" s="370">
        <f ca="1">SUM(Model!I107:M107)</f>
        <v>399215.15676907817</v>
      </c>
      <c r="Q108" s="369">
        <f ca="1">SUM(I108:M108)</f>
        <v>399215.15676907817</v>
      </c>
      <c r="R108" s="368" cm="1">
        <f t="array" aca="1" ref="R108" ca="1">IF(SUM(ISBLANK(Model!I107:M107)*1)&gt;0,0,IF(P108=Q108,1,0))</f>
        <v>1</v>
      </c>
    </row>
    <row r="109" spans="1:18" ht="15" customHeight="1" outlineLevel="1">
      <c r="A109" s="7"/>
      <c r="B109" s="330"/>
      <c r="C109" s="330"/>
      <c r="F109" s="332"/>
      <c r="G109" s="332"/>
      <c r="H109" s="332"/>
      <c r="I109" s="331"/>
      <c r="J109" s="331"/>
      <c r="K109" s="331"/>
      <c r="L109" s="331"/>
      <c r="M109" s="331"/>
      <c r="P109" s="3"/>
    </row>
    <row r="110" spans="1:18" ht="15" customHeight="1" outlineLevel="1">
      <c r="A110" s="7"/>
      <c r="B110" s="330"/>
      <c r="C110" s="330"/>
      <c r="F110" s="332"/>
      <c r="G110" s="332"/>
      <c r="H110" s="332"/>
      <c r="I110" s="331"/>
      <c r="J110" s="331"/>
      <c r="K110" s="331"/>
      <c r="L110" s="331"/>
      <c r="M110" s="331"/>
      <c r="P110" s="3"/>
    </row>
    <row r="111" spans="1:18" ht="15" customHeight="1" outlineLevel="1" thickBot="1">
      <c r="A111" s="7"/>
      <c r="B111" s="18" t="s">
        <v>165</v>
      </c>
      <c r="C111" s="330"/>
      <c r="F111" s="329">
        <v>79538.700000000084</v>
      </c>
      <c r="G111" s="329">
        <v>85349.550600000075</v>
      </c>
      <c r="H111" s="329">
        <v>92449.999100000074</v>
      </c>
      <c r="I111" s="328">
        <f ca="1">Model!I107+Model!I100</f>
        <v>104331.09926585967</v>
      </c>
      <c r="J111" s="328">
        <f ca="1">Model!J107+Model!J100</f>
        <v>105417.37784584548</v>
      </c>
      <c r="K111" s="328">
        <f ca="1">Model!K107+Model!K100</f>
        <v>106375.29097852678</v>
      </c>
      <c r="L111" s="328">
        <f ca="1">Model!L107+Model!L100</f>
        <v>107500.56283075595</v>
      </c>
      <c r="M111" s="328">
        <f ca="1">Model!M107+Model!M100</f>
        <v>110429.41483796648</v>
      </c>
      <c r="P111" s="49">
        <f ca="1">SUM(Model!I110:M110)</f>
        <v>534053.74575895432</v>
      </c>
      <c r="Q111" s="48">
        <f ca="1">SUM(I111:M111)</f>
        <v>534053.74575895432</v>
      </c>
      <c r="R111" s="47" cm="1">
        <f t="array" aca="1" ref="R111" ca="1">IF(SUM(ISBLANK(Model!I110:M110)*1)&gt;0,0,IF(P111=Q111,1,0))</f>
        <v>1</v>
      </c>
    </row>
    <row r="112" spans="1:18" ht="15" customHeight="1" outlineLevel="1">
      <c r="A112" s="7"/>
      <c r="B112" s="8"/>
      <c r="C112" s="8"/>
      <c r="F112" s="150"/>
      <c r="G112" s="150"/>
      <c r="H112" s="150"/>
      <c r="I112" s="280"/>
      <c r="J112" s="280"/>
      <c r="K112" s="280"/>
      <c r="L112" s="280"/>
      <c r="M112" s="280"/>
      <c r="P112" s="3"/>
    </row>
    <row r="113" spans="1:18" ht="15" customHeight="1" outlineLevel="1">
      <c r="A113" s="7"/>
      <c r="B113" s="8"/>
      <c r="C113" s="8"/>
      <c r="F113" s="150"/>
      <c r="G113" s="150"/>
      <c r="H113" s="150"/>
      <c r="I113" s="280"/>
      <c r="J113" s="280"/>
      <c r="K113" s="280"/>
      <c r="L113" s="280"/>
      <c r="M113" s="280"/>
    </row>
    <row r="114" spans="1:18" ht="15" customHeight="1" outlineLevel="1">
      <c r="A114" s="7"/>
      <c r="B114" s="327" t="s">
        <v>164</v>
      </c>
      <c r="C114" s="327"/>
      <c r="F114" s="326">
        <f t="shared" ref="F114:M114" si="3">ROUND(F111-F90,0)</f>
        <v>0</v>
      </c>
      <c r="G114" s="326">
        <f t="shared" si="3"/>
        <v>0</v>
      </c>
      <c r="H114" s="326">
        <f t="shared" si="3"/>
        <v>0</v>
      </c>
      <c r="I114" s="326">
        <f t="shared" ca="1" si="3"/>
        <v>0</v>
      </c>
      <c r="J114" s="326">
        <f t="shared" ca="1" si="3"/>
        <v>0</v>
      </c>
      <c r="K114" s="326">
        <f t="shared" ca="1" si="3"/>
        <v>0</v>
      </c>
      <c r="L114" s="326">
        <f t="shared" ca="1" si="3"/>
        <v>0</v>
      </c>
      <c r="M114" s="326">
        <f t="shared" ca="1" si="3"/>
        <v>0</v>
      </c>
      <c r="O114" s="1"/>
    </row>
    <row r="115" spans="1:18" ht="15" customHeight="1" outlineLevel="1">
      <c r="A115" s="7"/>
      <c r="B115" s="41"/>
      <c r="C115" s="40"/>
      <c r="D115" s="39"/>
      <c r="E115" s="39"/>
      <c r="F115" s="39"/>
      <c r="G115" s="39"/>
      <c r="H115" s="39"/>
      <c r="I115" s="159"/>
      <c r="J115" s="159"/>
      <c r="K115" s="159"/>
      <c r="L115" s="159"/>
      <c r="M115" s="159"/>
      <c r="P115" s="3"/>
    </row>
    <row r="116" spans="1:18" s="7" customFormat="1" ht="15" customHeight="1" outlineLevel="1">
      <c r="B116" s="283"/>
      <c r="C116" s="283"/>
      <c r="D116" s="282"/>
      <c r="E116" s="282"/>
      <c r="F116" s="325"/>
      <c r="G116" s="325"/>
      <c r="H116" s="325"/>
      <c r="I116" s="325"/>
      <c r="J116" s="325"/>
      <c r="K116" s="325"/>
      <c r="L116" s="325"/>
      <c r="M116" s="325"/>
    </row>
    <row r="117" spans="1:18" s="7" customFormat="1" ht="15" customHeight="1">
      <c r="B117" s="211"/>
      <c r="C117" s="278"/>
      <c r="D117" s="277"/>
      <c r="E117" s="8"/>
      <c r="F117" s="181"/>
      <c r="G117" s="181"/>
      <c r="H117" s="181"/>
      <c r="I117" s="181"/>
      <c r="J117" s="181"/>
      <c r="K117" s="181"/>
      <c r="L117" s="181"/>
      <c r="M117" s="181"/>
      <c r="N117" s="3"/>
      <c r="O117" s="3"/>
    </row>
    <row r="118" spans="1:18" ht="15" customHeight="1">
      <c r="A118" s="68" t="s">
        <v>0</v>
      </c>
      <c r="B118" s="45" t="s">
        <v>163</v>
      </c>
      <c r="C118" s="44"/>
      <c r="D118" s="43"/>
      <c r="E118" s="43"/>
      <c r="F118" s="42"/>
      <c r="G118" s="42"/>
      <c r="H118" s="42"/>
      <c r="I118" s="42"/>
      <c r="J118" s="42"/>
      <c r="K118" s="42"/>
      <c r="L118" s="42"/>
      <c r="M118" s="42"/>
      <c r="P118" s="121"/>
    </row>
    <row r="119" spans="1:18" ht="15" customHeight="1" outlineLevel="1">
      <c r="A119" s="324"/>
      <c r="B119" s="89"/>
      <c r="C119" s="40"/>
      <c r="D119" s="146"/>
      <c r="E119" s="146"/>
      <c r="F119" s="145"/>
      <c r="G119" s="145"/>
      <c r="H119" s="145"/>
      <c r="I119" s="145"/>
      <c r="J119" s="145"/>
      <c r="K119" s="145"/>
      <c r="L119" s="145"/>
      <c r="M119" s="145"/>
      <c r="P119" s="121"/>
    </row>
    <row r="120" spans="1:18" ht="15" customHeight="1" outlineLevel="1" thickBot="1">
      <c r="A120" s="68"/>
      <c r="B120" s="41" t="s">
        <v>15</v>
      </c>
      <c r="C120" s="40"/>
      <c r="D120" s="39"/>
      <c r="E120" s="39"/>
      <c r="F120" s="165">
        <f t="shared" ref="F120:M120" si="4">F$5</f>
        <v>2020</v>
      </c>
      <c r="G120" s="165">
        <f t="shared" si="4"/>
        <v>2021</v>
      </c>
      <c r="H120" s="165">
        <f t="shared" si="4"/>
        <v>2022</v>
      </c>
      <c r="I120" s="105">
        <f t="shared" si="4"/>
        <v>2023</v>
      </c>
      <c r="J120" s="105">
        <f t="shared" si="4"/>
        <v>2024</v>
      </c>
      <c r="K120" s="105">
        <f t="shared" si="4"/>
        <v>2025</v>
      </c>
      <c r="L120" s="105">
        <f t="shared" si="4"/>
        <v>2026</v>
      </c>
      <c r="M120" s="105">
        <f t="shared" si="4"/>
        <v>2027</v>
      </c>
    </row>
    <row r="121" spans="1:18" ht="15" customHeight="1" outlineLevel="1">
      <c r="A121" s="68"/>
      <c r="B121" s="41" t="str">
        <f>B$6</f>
        <v>Model Running: Base Case Drivers</v>
      </c>
      <c r="C121" s="40"/>
      <c r="D121" s="39"/>
      <c r="E121" s="39"/>
      <c r="F121" s="39"/>
      <c r="G121" s="39"/>
      <c r="H121" s="39"/>
      <c r="I121" s="159"/>
      <c r="J121" s="159"/>
      <c r="K121" s="159"/>
      <c r="L121" s="159"/>
      <c r="M121" s="159"/>
      <c r="P121" s="121"/>
    </row>
    <row r="122" spans="1:18" ht="15" customHeight="1" outlineLevel="1">
      <c r="A122" s="68"/>
      <c r="C122" s="40"/>
      <c r="D122" s="39"/>
      <c r="E122" s="39"/>
      <c r="F122" s="39"/>
      <c r="G122" s="39"/>
      <c r="H122" s="39"/>
      <c r="I122" s="159"/>
      <c r="J122" s="159"/>
      <c r="K122" s="159"/>
      <c r="L122" s="159"/>
      <c r="M122" s="159"/>
      <c r="P122" s="121"/>
    </row>
    <row r="123" spans="1:18" ht="15" customHeight="1" outlineLevel="1">
      <c r="A123" s="68"/>
      <c r="C123" s="40"/>
      <c r="D123" s="39"/>
      <c r="E123" s="39"/>
      <c r="F123" s="39"/>
      <c r="G123" s="39"/>
      <c r="H123" s="39"/>
      <c r="I123" s="159"/>
      <c r="J123" s="159"/>
      <c r="K123" s="159"/>
      <c r="L123" s="159"/>
      <c r="M123" s="159"/>
      <c r="P123" s="121"/>
    </row>
    <row r="124" spans="1:18" s="7" customFormat="1" ht="15" customHeight="1" outlineLevel="1">
      <c r="B124" s="35" t="s">
        <v>162</v>
      </c>
      <c r="C124" s="278"/>
      <c r="D124" s="277"/>
      <c r="E124" s="8"/>
      <c r="F124" s="323"/>
      <c r="G124" s="181"/>
      <c r="H124" s="181"/>
      <c r="I124" s="149"/>
      <c r="J124" s="149"/>
      <c r="K124" s="149"/>
      <c r="L124" s="149"/>
      <c r="M124" s="149"/>
      <c r="P124" s="3"/>
    </row>
    <row r="125" spans="1:18" s="7" customFormat="1" ht="15" customHeight="1" outlineLevel="1" thickBot="1">
      <c r="B125" s="211"/>
      <c r="C125" s="278"/>
      <c r="D125" s="277"/>
      <c r="E125" s="8"/>
      <c r="F125" s="181"/>
      <c r="G125" s="181"/>
      <c r="H125" s="181"/>
      <c r="I125" s="181"/>
      <c r="J125" s="181"/>
      <c r="K125" s="181"/>
      <c r="L125" s="181"/>
      <c r="M125" s="181"/>
      <c r="P125" s="382" t="s">
        <v>19</v>
      </c>
      <c r="Q125" s="381" t="s">
        <v>18</v>
      </c>
      <c r="R125" s="380" t="s">
        <v>17</v>
      </c>
    </row>
    <row r="126" spans="1:18" ht="15" customHeight="1" outlineLevel="1">
      <c r="A126" s="149"/>
      <c r="B126" s="83" t="s">
        <v>59</v>
      </c>
      <c r="C126" s="40"/>
      <c r="D126" s="39"/>
      <c r="E126" s="39"/>
      <c r="F126" s="39"/>
      <c r="G126" s="309">
        <f>G128/F128-1</f>
        <v>7.1428571428566734E-4</v>
      </c>
      <c r="H126" s="309">
        <f>H128/G128-1</f>
        <v>2.0699500356887945E-2</v>
      </c>
      <c r="I126" s="322">
        <f>Inputs!H8</f>
        <v>0.02</v>
      </c>
      <c r="J126" s="322">
        <f>Inputs!I8</f>
        <v>0.01</v>
      </c>
      <c r="K126" s="322">
        <f>Inputs!J8</f>
        <v>0.01</v>
      </c>
      <c r="L126" s="322">
        <f>Inputs!K8</f>
        <v>5.0000000000000001E-3</v>
      </c>
      <c r="M126" s="322">
        <f>Inputs!L8</f>
        <v>5.0000000000000001E-3</v>
      </c>
      <c r="P126" s="384">
        <f>SUM(Model!I125:M125)</f>
        <v>4.9999999999999996E-2</v>
      </c>
      <c r="Q126" s="383">
        <f>SUM(I126:M126)</f>
        <v>4.9999999999999996E-2</v>
      </c>
      <c r="R126" s="377" cm="1">
        <f t="array" ref="R126">IF(SUM(ISBLANK(Model!I125:M125)*1)&gt;0,0,IF(P126=Q126,1,0))</f>
        <v>1</v>
      </c>
    </row>
    <row r="127" spans="1:18" ht="15" customHeight="1" outlineLevel="1">
      <c r="A127" s="149"/>
      <c r="B127" s="83"/>
      <c r="C127" s="40"/>
      <c r="D127" s="39"/>
      <c r="E127" s="39"/>
      <c r="F127" s="39"/>
      <c r="G127" s="309"/>
      <c r="H127" s="309"/>
      <c r="I127" s="321"/>
      <c r="J127" s="321"/>
      <c r="K127" s="321"/>
      <c r="L127" s="321"/>
      <c r="M127" s="321"/>
    </row>
    <row r="128" spans="1:18" ht="15" customHeight="1" outlineLevel="1">
      <c r="A128" s="149"/>
      <c r="B128" s="83" t="s">
        <v>152</v>
      </c>
      <c r="C128" s="40"/>
      <c r="D128" s="277" t="s">
        <v>30</v>
      </c>
      <c r="E128" s="39"/>
      <c r="F128" s="269">
        <v>1400</v>
      </c>
      <c r="G128" s="269">
        <v>1401</v>
      </c>
      <c r="H128" s="269">
        <v>1430</v>
      </c>
      <c r="I128" s="158">
        <f>H128*(1+I126)</f>
        <v>1458.6000000000001</v>
      </c>
      <c r="J128" s="158">
        <f>I128*(1+J126)</f>
        <v>1473.1860000000001</v>
      </c>
      <c r="K128" s="158">
        <f>J128*(1+K126)</f>
        <v>1487.9178600000002</v>
      </c>
      <c r="L128" s="158">
        <f>K128*(1+L126)</f>
        <v>1495.3574493000001</v>
      </c>
      <c r="M128" s="158">
        <f>L128*(1+M126)</f>
        <v>1502.8342365465001</v>
      </c>
      <c r="P128" s="3"/>
    </row>
    <row r="129" spans="1:18" s="7" customFormat="1" ht="15" customHeight="1" outlineLevel="1">
      <c r="B129" s="83" t="s">
        <v>31</v>
      </c>
      <c r="C129" s="278"/>
      <c r="D129" s="277" t="s">
        <v>30</v>
      </c>
      <c r="E129" s="8"/>
      <c r="F129" s="269">
        <v>1500</v>
      </c>
      <c r="G129" s="269">
        <v>1500</v>
      </c>
      <c r="H129" s="269">
        <v>1500</v>
      </c>
      <c r="I129" s="158">
        <f>Inputs!$F$55</f>
        <v>1600</v>
      </c>
      <c r="J129" s="158">
        <f>I129</f>
        <v>1600</v>
      </c>
      <c r="K129" s="158">
        <f>J129</f>
        <v>1600</v>
      </c>
      <c r="L129" s="158">
        <f>K129</f>
        <v>1600</v>
      </c>
      <c r="M129" s="158">
        <f>L129</f>
        <v>1600</v>
      </c>
      <c r="P129" s="121"/>
    </row>
    <row r="130" spans="1:18" s="7" customFormat="1" ht="15" customHeight="1" outlineLevel="1">
      <c r="B130" s="83" t="s">
        <v>161</v>
      </c>
      <c r="C130" s="40"/>
      <c r="D130" s="39"/>
      <c r="E130" s="39"/>
      <c r="F130" s="320">
        <f t="shared" ref="F130:M130" si="5">F128/F129</f>
        <v>0.93333333333333335</v>
      </c>
      <c r="G130" s="320">
        <f t="shared" si="5"/>
        <v>0.93400000000000005</v>
      </c>
      <c r="H130" s="320">
        <f t="shared" si="5"/>
        <v>0.95333333333333337</v>
      </c>
      <c r="I130" s="320">
        <f t="shared" si="5"/>
        <v>0.91162500000000013</v>
      </c>
      <c r="J130" s="320">
        <f t="shared" si="5"/>
        <v>0.92074125000000007</v>
      </c>
      <c r="K130" s="320">
        <f t="shared" si="5"/>
        <v>0.92994866250000019</v>
      </c>
      <c r="L130" s="320">
        <f t="shared" si="5"/>
        <v>0.93459840581250009</v>
      </c>
      <c r="M130" s="320">
        <f t="shared" si="5"/>
        <v>0.93927139784156255</v>
      </c>
      <c r="P130" s="3"/>
    </row>
    <row r="131" spans="1:18" ht="15" customHeight="1" outlineLevel="1">
      <c r="A131" s="149"/>
      <c r="C131" s="40"/>
      <c r="D131" s="277"/>
      <c r="E131" s="39"/>
      <c r="F131" s="158"/>
      <c r="G131" s="158"/>
      <c r="H131" s="158"/>
      <c r="I131" s="158"/>
      <c r="J131" s="158"/>
      <c r="K131" s="158"/>
      <c r="L131" s="158"/>
      <c r="M131" s="158"/>
    </row>
    <row r="132" spans="1:18" ht="15" customHeight="1" outlineLevel="1">
      <c r="A132" s="149"/>
      <c r="B132" s="5"/>
      <c r="C132" s="153"/>
      <c r="D132" s="264"/>
      <c r="E132" s="152"/>
      <c r="F132" s="161"/>
      <c r="G132" s="161"/>
      <c r="H132" s="161"/>
      <c r="I132" s="161"/>
      <c r="J132" s="161"/>
      <c r="K132" s="161"/>
      <c r="L132" s="161"/>
      <c r="M132" s="161"/>
    </row>
    <row r="133" spans="1:18" ht="15" customHeight="1" outlineLevel="1">
      <c r="A133" s="149"/>
      <c r="B133" s="41"/>
      <c r="C133" s="40"/>
      <c r="D133" s="39"/>
      <c r="E133" s="39"/>
      <c r="F133" s="39"/>
      <c r="G133" s="39"/>
      <c r="H133" s="39"/>
      <c r="I133" s="149"/>
      <c r="J133" s="149"/>
      <c r="K133" s="149"/>
      <c r="L133" s="149"/>
      <c r="M133" s="149"/>
      <c r="P133" s="3"/>
    </row>
    <row r="134" spans="1:18" s="7" customFormat="1" ht="15" customHeight="1" outlineLevel="1">
      <c r="B134" s="35" t="s">
        <v>160</v>
      </c>
      <c r="C134" s="278"/>
      <c r="D134" s="277"/>
      <c r="E134" s="8"/>
      <c r="F134" s="181"/>
      <c r="G134" s="181"/>
      <c r="H134" s="181"/>
      <c r="I134" s="181"/>
      <c r="J134" s="181"/>
      <c r="K134" s="181"/>
      <c r="L134" s="181"/>
      <c r="M134" s="181"/>
      <c r="P134" s="3"/>
    </row>
    <row r="135" spans="1:18" s="7" customFormat="1" ht="15" customHeight="1" outlineLevel="1">
      <c r="B135" s="211"/>
      <c r="C135" s="278"/>
      <c r="D135" s="277"/>
      <c r="E135" s="8"/>
      <c r="F135" s="181"/>
      <c r="G135" s="181"/>
      <c r="H135" s="181"/>
      <c r="I135" s="181"/>
      <c r="J135" s="181"/>
      <c r="K135" s="181"/>
      <c r="L135" s="181"/>
      <c r="M135" s="181"/>
      <c r="P135" s="3"/>
    </row>
    <row r="136" spans="1:18" ht="15" customHeight="1" outlineLevel="1">
      <c r="A136" s="149"/>
      <c r="B136" s="83" t="s">
        <v>37</v>
      </c>
      <c r="C136" s="40"/>
      <c r="D136" s="39"/>
      <c r="E136" s="39"/>
      <c r="F136" s="269">
        <v>365</v>
      </c>
      <c r="G136" s="269">
        <v>365</v>
      </c>
      <c r="H136" s="269">
        <v>365</v>
      </c>
      <c r="I136" s="158">
        <f>Inputs!$F$51</f>
        <v>365</v>
      </c>
      <c r="J136" s="158">
        <f>I136</f>
        <v>365</v>
      </c>
      <c r="K136" s="158">
        <f>J136</f>
        <v>365</v>
      </c>
      <c r="L136" s="158">
        <f>K136</f>
        <v>365</v>
      </c>
      <c r="M136" s="158">
        <f>L136</f>
        <v>365</v>
      </c>
      <c r="P136" s="3"/>
    </row>
    <row r="137" spans="1:18" ht="15" customHeight="1" outlineLevel="1">
      <c r="A137" s="149"/>
      <c r="B137" s="83" t="s">
        <v>152</v>
      </c>
      <c r="C137" s="40"/>
      <c r="D137" s="277" t="s">
        <v>30</v>
      </c>
      <c r="E137" s="39"/>
      <c r="F137" s="161">
        <f t="shared" ref="F137:M137" si="6">F128</f>
        <v>1400</v>
      </c>
      <c r="G137" s="161">
        <f t="shared" si="6"/>
        <v>1401</v>
      </c>
      <c r="H137" s="161">
        <f t="shared" si="6"/>
        <v>1430</v>
      </c>
      <c r="I137" s="158">
        <f t="shared" si="6"/>
        <v>1458.6000000000001</v>
      </c>
      <c r="J137" s="161">
        <f t="shared" si="6"/>
        <v>1473.1860000000001</v>
      </c>
      <c r="K137" s="161">
        <f t="shared" si="6"/>
        <v>1487.9178600000002</v>
      </c>
      <c r="L137" s="161">
        <f t="shared" si="6"/>
        <v>1495.3574493000001</v>
      </c>
      <c r="M137" s="161">
        <f t="shared" si="6"/>
        <v>1502.8342365465001</v>
      </c>
      <c r="P137" s="3"/>
    </row>
    <row r="138" spans="1:18" ht="15" customHeight="1" outlineLevel="1">
      <c r="A138" s="149"/>
      <c r="B138" s="83" t="s">
        <v>152</v>
      </c>
      <c r="C138" s="40"/>
      <c r="D138" s="277" t="s">
        <v>156</v>
      </c>
      <c r="E138" s="39"/>
      <c r="F138" s="158">
        <f t="shared" ref="F138:M138" si="7">F137*F136</f>
        <v>511000</v>
      </c>
      <c r="G138" s="158">
        <f t="shared" si="7"/>
        <v>511365</v>
      </c>
      <c r="H138" s="158">
        <f t="shared" si="7"/>
        <v>521950</v>
      </c>
      <c r="I138" s="200">
        <f t="shared" si="7"/>
        <v>532389</v>
      </c>
      <c r="J138" s="158">
        <f t="shared" si="7"/>
        <v>537712.89</v>
      </c>
      <c r="K138" s="158">
        <f t="shared" si="7"/>
        <v>543090.01890000014</v>
      </c>
      <c r="L138" s="158">
        <f t="shared" si="7"/>
        <v>545805.4689945</v>
      </c>
      <c r="M138" s="158">
        <f t="shared" si="7"/>
        <v>548534.49633947248</v>
      </c>
    </row>
    <row r="139" spans="1:18" ht="15" customHeight="1" outlineLevel="1">
      <c r="A139" s="149"/>
      <c r="B139" s="211"/>
      <c r="C139" s="40"/>
      <c r="D139" s="277"/>
      <c r="E139" s="39"/>
      <c r="F139" s="158"/>
      <c r="G139" s="158"/>
      <c r="H139" s="158"/>
      <c r="I139" s="299"/>
      <c r="J139" s="299"/>
      <c r="K139" s="299"/>
      <c r="L139" s="299"/>
      <c r="M139" s="299"/>
    </row>
    <row r="140" spans="1:18" ht="15" customHeight="1" outlineLevel="1">
      <c r="A140" s="149"/>
      <c r="B140" s="211"/>
      <c r="C140" s="40"/>
      <c r="D140" s="277"/>
      <c r="E140" s="39"/>
      <c r="F140" s="158"/>
      <c r="G140" s="158"/>
      <c r="H140" s="158"/>
      <c r="I140" s="299"/>
      <c r="J140" s="299"/>
      <c r="K140" s="299"/>
      <c r="L140" s="299"/>
      <c r="M140" s="299"/>
    </row>
    <row r="141" spans="1:18" s="7" customFormat="1" ht="15" customHeight="1" outlineLevel="1">
      <c r="B141" s="35" t="s">
        <v>159</v>
      </c>
      <c r="C141" s="278"/>
      <c r="D141" s="277"/>
      <c r="E141" s="277"/>
      <c r="F141" s="277"/>
      <c r="G141" s="277"/>
      <c r="H141" s="277"/>
      <c r="I141" s="277"/>
      <c r="J141" s="277"/>
      <c r="K141" s="277"/>
      <c r="L141" s="277"/>
      <c r="M141" s="158"/>
      <c r="P141" s="3"/>
    </row>
    <row r="142" spans="1:18" s="7" customFormat="1" ht="15" customHeight="1" outlineLevel="1" thickBot="1">
      <c r="B142" s="211"/>
      <c r="C142" s="278"/>
      <c r="D142" s="277"/>
      <c r="E142" s="8"/>
      <c r="F142" s="181"/>
      <c r="G142" s="181"/>
      <c r="H142" s="181"/>
      <c r="I142" s="181"/>
      <c r="J142" s="181"/>
      <c r="K142" s="181"/>
      <c r="L142" s="181"/>
      <c r="M142" s="181"/>
      <c r="P142" s="382" t="s">
        <v>19</v>
      </c>
      <c r="Q142" s="381" t="s">
        <v>18</v>
      </c>
      <c r="R142" s="380" t="s">
        <v>17</v>
      </c>
    </row>
    <row r="143" spans="1:18" ht="15" customHeight="1" outlineLevel="1">
      <c r="A143" s="149"/>
      <c r="B143" s="83" t="s">
        <v>55</v>
      </c>
      <c r="C143" s="40"/>
      <c r="D143" s="39"/>
      <c r="E143" s="39"/>
      <c r="F143" s="152"/>
      <c r="G143" s="312">
        <f>G144/F144-1</f>
        <v>2.020202020202011E-2</v>
      </c>
      <c r="H143" s="312">
        <f>H144/G144-1</f>
        <v>1.980198019801982E-2</v>
      </c>
      <c r="I143" s="319">
        <f>Inputs!H15</f>
        <v>0.03</v>
      </c>
      <c r="J143" s="319">
        <f>Inputs!I15</f>
        <v>0.01</v>
      </c>
      <c r="K143" s="319">
        <f>Inputs!J15</f>
        <v>0.01</v>
      </c>
      <c r="L143" s="319">
        <f>Inputs!K15</f>
        <v>0.01</v>
      </c>
      <c r="M143" s="319">
        <f>Inputs!L15</f>
        <v>5.0000000000000001E-3</v>
      </c>
      <c r="P143" s="384">
        <f>SUM(Model!I142:M142)</f>
        <v>6.5000000000000002E-2</v>
      </c>
      <c r="Q143" s="383">
        <f>SUM(I143:M143)</f>
        <v>6.5000000000000002E-2</v>
      </c>
      <c r="R143" s="377" cm="1">
        <f t="array" ref="R143">IF(SUM(ISBLANK(Model!I142:M142)*1)&gt;0,0,IF(P143=Q143,1,0))</f>
        <v>1</v>
      </c>
    </row>
    <row r="144" spans="1:18" ht="15" customHeight="1" outlineLevel="1">
      <c r="A144" s="149"/>
      <c r="B144" s="83" t="s">
        <v>158</v>
      </c>
      <c r="C144" s="40"/>
      <c r="D144" s="277" t="s">
        <v>142</v>
      </c>
      <c r="E144" s="39"/>
      <c r="F144" s="307">
        <v>99</v>
      </c>
      <c r="G144" s="307">
        <v>101</v>
      </c>
      <c r="H144" s="307">
        <v>103</v>
      </c>
      <c r="I144" s="306">
        <f>H144*(1+I143)</f>
        <v>106.09</v>
      </c>
      <c r="J144" s="306">
        <f>I144*(1+J143)</f>
        <v>107.15090000000001</v>
      </c>
      <c r="K144" s="306">
        <f>J144*(1+K143)</f>
        <v>108.22240900000001</v>
      </c>
      <c r="L144" s="306">
        <f>K144*(1+L143)</f>
        <v>109.30463309000001</v>
      </c>
      <c r="M144" s="306">
        <f>L144*(1+M143)</f>
        <v>109.85115625544999</v>
      </c>
    </row>
    <row r="145" spans="1:16" ht="15" customHeight="1" outlineLevel="1">
      <c r="A145" s="149"/>
      <c r="C145" s="40"/>
      <c r="D145" s="277"/>
      <c r="E145" s="39"/>
      <c r="F145" s="307"/>
      <c r="G145" s="307"/>
      <c r="H145" s="307"/>
      <c r="I145" s="306"/>
      <c r="J145" s="306"/>
      <c r="K145" s="306"/>
      <c r="L145" s="306"/>
      <c r="M145" s="306"/>
    </row>
    <row r="146" spans="1:16" ht="15" customHeight="1" outlineLevel="1">
      <c r="A146" s="149"/>
      <c r="C146" s="40"/>
      <c r="D146" s="277"/>
      <c r="E146" s="39"/>
      <c r="F146" s="307"/>
      <c r="G146" s="307"/>
      <c r="H146" s="307"/>
      <c r="I146" s="306"/>
      <c r="J146" s="306"/>
      <c r="K146" s="306"/>
      <c r="L146" s="306"/>
      <c r="M146" s="306"/>
    </row>
    <row r="147" spans="1:16" s="7" customFormat="1" ht="15" customHeight="1" outlineLevel="1">
      <c r="B147" s="35" t="s">
        <v>157</v>
      </c>
      <c r="C147" s="278"/>
      <c r="D147" s="277"/>
      <c r="E147" s="8"/>
      <c r="F147" s="181"/>
      <c r="G147" s="181"/>
      <c r="H147" s="181"/>
      <c r="I147" s="181"/>
      <c r="J147" s="181"/>
      <c r="K147" s="181"/>
      <c r="L147" s="181"/>
      <c r="M147" s="181"/>
      <c r="P147" s="3"/>
    </row>
    <row r="148" spans="1:16" s="7" customFormat="1" ht="15" customHeight="1" outlineLevel="1">
      <c r="B148" s="211"/>
      <c r="C148" s="278"/>
      <c r="D148" s="277"/>
      <c r="E148" s="8"/>
      <c r="F148" s="181"/>
      <c r="G148" s="181"/>
      <c r="H148" s="181"/>
      <c r="I148" s="181"/>
      <c r="J148" s="181"/>
      <c r="K148" s="181"/>
      <c r="L148" s="181"/>
      <c r="M148" s="181"/>
      <c r="P148" s="3"/>
    </row>
    <row r="149" spans="1:16" ht="15" customHeight="1" outlineLevel="1">
      <c r="A149" s="149"/>
      <c r="B149" s="83" t="s">
        <v>152</v>
      </c>
      <c r="C149" s="40"/>
      <c r="D149" s="277" t="s">
        <v>156</v>
      </c>
      <c r="E149" s="39"/>
      <c r="F149" s="158">
        <f t="shared" ref="F149:M149" si="8">F138</f>
        <v>511000</v>
      </c>
      <c r="G149" s="158">
        <f t="shared" si="8"/>
        <v>511365</v>
      </c>
      <c r="H149" s="158">
        <f t="shared" si="8"/>
        <v>521950</v>
      </c>
      <c r="I149" s="158">
        <f t="shared" si="8"/>
        <v>532389</v>
      </c>
      <c r="J149" s="158">
        <f t="shared" si="8"/>
        <v>537712.89</v>
      </c>
      <c r="K149" s="158">
        <f t="shared" si="8"/>
        <v>543090.01890000014</v>
      </c>
      <c r="L149" s="158">
        <f t="shared" si="8"/>
        <v>545805.4689945</v>
      </c>
      <c r="M149" s="158">
        <f t="shared" si="8"/>
        <v>548534.49633947248</v>
      </c>
      <c r="P149" s="3"/>
    </row>
    <row r="150" spans="1:16" ht="15" customHeight="1" outlineLevel="1">
      <c r="A150" s="149"/>
      <c r="B150" s="83" t="s">
        <v>155</v>
      </c>
      <c r="C150" s="40"/>
      <c r="D150" s="277" t="s">
        <v>142</v>
      </c>
      <c r="E150" s="39"/>
      <c r="F150" s="297">
        <f t="shared" ref="F150:M150" si="9">F144</f>
        <v>99</v>
      </c>
      <c r="G150" s="297">
        <f t="shared" si="9"/>
        <v>101</v>
      </c>
      <c r="H150" s="297">
        <f t="shared" si="9"/>
        <v>103</v>
      </c>
      <c r="I150" s="297">
        <f t="shared" si="9"/>
        <v>106.09</v>
      </c>
      <c r="J150" s="297">
        <f t="shared" si="9"/>
        <v>107.15090000000001</v>
      </c>
      <c r="K150" s="297">
        <f t="shared" si="9"/>
        <v>108.22240900000001</v>
      </c>
      <c r="L150" s="297">
        <f t="shared" si="9"/>
        <v>109.30463309000001</v>
      </c>
      <c r="M150" s="297">
        <f t="shared" si="9"/>
        <v>109.85115625544999</v>
      </c>
    </row>
    <row r="151" spans="1:16" ht="15" customHeight="1" outlineLevel="1" thickBot="1">
      <c r="A151" s="149"/>
      <c r="B151" s="83" t="s">
        <v>13</v>
      </c>
      <c r="C151" s="40"/>
      <c r="D151" s="277"/>
      <c r="E151" s="39"/>
      <c r="F151" s="318">
        <f t="shared" ref="F151:M151" si="10">F149*F150/1000</f>
        <v>50589</v>
      </c>
      <c r="G151" s="318">
        <f t="shared" si="10"/>
        <v>51647.864999999998</v>
      </c>
      <c r="H151" s="318">
        <f t="shared" si="10"/>
        <v>53760.85</v>
      </c>
      <c r="I151" s="318">
        <f t="shared" si="10"/>
        <v>56481.149010000008</v>
      </c>
      <c r="J151" s="318">
        <f t="shared" si="10"/>
        <v>57616.420105101002</v>
      </c>
      <c r="K151" s="318">
        <f t="shared" si="10"/>
        <v>58774.510149213551</v>
      </c>
      <c r="L151" s="318">
        <f t="shared" si="10"/>
        <v>59659.066526959199</v>
      </c>
      <c r="M151" s="318">
        <f t="shared" si="10"/>
        <v>60257.148668891954</v>
      </c>
      <c r="P151" s="70"/>
    </row>
    <row r="152" spans="1:16" ht="15" customHeight="1" outlineLevel="1">
      <c r="A152" s="149"/>
      <c r="C152" s="40"/>
      <c r="D152" s="277"/>
      <c r="E152" s="39"/>
      <c r="F152" s="158"/>
      <c r="G152" s="158"/>
      <c r="H152" s="158"/>
      <c r="I152" s="158"/>
      <c r="J152" s="158"/>
      <c r="K152" s="158"/>
      <c r="L152" s="158"/>
      <c r="M152" s="158"/>
      <c r="P152" s="205"/>
    </row>
    <row r="153" spans="1:16" ht="15" customHeight="1" outlineLevel="1">
      <c r="A153" s="149"/>
      <c r="C153" s="40"/>
      <c r="D153" s="277"/>
      <c r="E153" s="39"/>
      <c r="F153" s="158"/>
      <c r="G153" s="158"/>
      <c r="H153" s="158"/>
      <c r="I153" s="158"/>
      <c r="J153" s="158"/>
      <c r="K153" s="158"/>
      <c r="L153" s="158"/>
      <c r="M153" s="158"/>
      <c r="P153" s="205"/>
    </row>
    <row r="154" spans="1:16" ht="15" customHeight="1" outlineLevel="1">
      <c r="A154" s="149"/>
      <c r="C154" s="40"/>
      <c r="D154" s="277"/>
      <c r="E154" s="39"/>
      <c r="F154" s="158"/>
      <c r="G154" s="158"/>
      <c r="H154" s="158"/>
      <c r="I154" s="158"/>
      <c r="J154" s="158"/>
      <c r="K154" s="158"/>
      <c r="L154" s="158"/>
      <c r="M154" s="158"/>
      <c r="P154" s="205"/>
    </row>
    <row r="155" spans="1:16" ht="15" customHeight="1" outlineLevel="1">
      <c r="A155" s="149"/>
      <c r="B155" s="211" t="s">
        <v>154</v>
      </c>
      <c r="C155" s="40"/>
      <c r="D155" s="317"/>
      <c r="E155" s="39"/>
      <c r="F155" s="316">
        <f t="shared" ref="F155:M155" si="11">IF(F130&gt;=1,1,0)</f>
        <v>0</v>
      </c>
      <c r="G155" s="315">
        <f t="shared" si="11"/>
        <v>0</v>
      </c>
      <c r="H155" s="315">
        <f t="shared" si="11"/>
        <v>0</v>
      </c>
      <c r="I155" s="315">
        <f t="shared" si="11"/>
        <v>0</v>
      </c>
      <c r="J155" s="315">
        <f t="shared" si="11"/>
        <v>0</v>
      </c>
      <c r="K155" s="315">
        <f t="shared" si="11"/>
        <v>0</v>
      </c>
      <c r="L155" s="315">
        <f t="shared" si="11"/>
        <v>0</v>
      </c>
      <c r="M155" s="314">
        <f t="shared" si="11"/>
        <v>0</v>
      </c>
      <c r="P155" s="148"/>
    </row>
    <row r="156" spans="1:16" ht="15" customHeight="1" outlineLevel="1">
      <c r="A156" s="149"/>
      <c r="B156" s="41"/>
      <c r="C156" s="40"/>
      <c r="D156" s="39"/>
      <c r="E156" s="39"/>
      <c r="F156" s="39"/>
      <c r="G156" s="39"/>
      <c r="H156" s="39"/>
      <c r="I156" s="149"/>
      <c r="J156" s="149"/>
      <c r="K156" s="149"/>
      <c r="L156" s="149"/>
      <c r="M156" s="149"/>
      <c r="P156" s="70"/>
    </row>
    <row r="157" spans="1:16" ht="15" customHeight="1" outlineLevel="1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</row>
    <row r="158" spans="1:16" s="7" customFormat="1" ht="15" customHeight="1"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150"/>
      <c r="O158" s="150"/>
      <c r="P158" s="143"/>
    </row>
    <row r="159" spans="1:16" ht="15" customHeight="1">
      <c r="A159" s="7" t="s">
        <v>0</v>
      </c>
      <c r="B159" s="45" t="s">
        <v>153</v>
      </c>
      <c r="C159" s="44"/>
      <c r="D159" s="43"/>
      <c r="E159" s="43"/>
      <c r="F159" s="42"/>
      <c r="G159" s="42"/>
      <c r="H159" s="42"/>
      <c r="I159" s="42"/>
      <c r="J159" s="42"/>
      <c r="K159" s="42"/>
      <c r="L159" s="42"/>
      <c r="M159" s="42"/>
      <c r="N159" s="3"/>
      <c r="O159" s="3"/>
      <c r="P159" s="121"/>
    </row>
    <row r="160" spans="1:16" ht="15" customHeight="1" outlineLevel="1">
      <c r="A160" s="7"/>
      <c r="B160" s="147"/>
      <c r="C160" s="40"/>
      <c r="D160" s="146"/>
      <c r="E160" s="146"/>
      <c r="F160" s="145"/>
      <c r="G160" s="145"/>
      <c r="H160" s="145"/>
      <c r="I160" s="145"/>
      <c r="J160" s="145"/>
      <c r="K160" s="145"/>
      <c r="L160" s="145"/>
      <c r="M160" s="145"/>
    </row>
    <row r="161" spans="1:16" ht="15" customHeight="1" outlineLevel="1" thickBot="1">
      <c r="A161" s="7"/>
      <c r="B161" s="41" t="s">
        <v>15</v>
      </c>
      <c r="C161" s="40"/>
      <c r="D161" s="39"/>
      <c r="E161" s="39"/>
      <c r="F161" s="165">
        <f t="shared" ref="F161:M161" si="12">F$5</f>
        <v>2020</v>
      </c>
      <c r="G161" s="165">
        <f t="shared" si="12"/>
        <v>2021</v>
      </c>
      <c r="H161" s="165">
        <f t="shared" si="12"/>
        <v>2022</v>
      </c>
      <c r="I161" s="105">
        <f t="shared" si="12"/>
        <v>2023</v>
      </c>
      <c r="J161" s="105">
        <f t="shared" si="12"/>
        <v>2024</v>
      </c>
      <c r="K161" s="105">
        <f t="shared" si="12"/>
        <v>2025</v>
      </c>
      <c r="L161" s="105">
        <f t="shared" si="12"/>
        <v>2026</v>
      </c>
      <c r="M161" s="105">
        <f t="shared" si="12"/>
        <v>2027</v>
      </c>
      <c r="P161" s="121"/>
    </row>
    <row r="162" spans="1:16" ht="15" customHeight="1" outlineLevel="1">
      <c r="A162" s="7"/>
      <c r="B162" s="41" t="str">
        <f>B$6</f>
        <v>Model Running: Base Case Drivers</v>
      </c>
      <c r="C162" s="40"/>
      <c r="D162" s="39"/>
      <c r="E162" s="39"/>
      <c r="F162" s="39"/>
      <c r="G162" s="39"/>
      <c r="H162" s="39"/>
      <c r="I162" s="159"/>
      <c r="J162" s="159"/>
      <c r="K162" s="159"/>
      <c r="L162" s="159"/>
      <c r="M162" s="159"/>
      <c r="P162" s="121"/>
    </row>
    <row r="163" spans="1:16" ht="15" customHeight="1" outlineLevel="1">
      <c r="A163" s="7"/>
      <c r="B163" s="41"/>
      <c r="C163" s="40"/>
      <c r="D163" s="39"/>
      <c r="E163" s="39"/>
      <c r="F163" s="39"/>
      <c r="G163" s="39"/>
      <c r="H163" s="39"/>
      <c r="I163" s="149"/>
      <c r="J163" s="149"/>
      <c r="K163" s="149"/>
      <c r="L163" s="149"/>
      <c r="M163" s="149"/>
    </row>
    <row r="164" spans="1:16" ht="15" customHeight="1" outlineLevel="1">
      <c r="A164" s="7"/>
      <c r="B164" s="211" t="s">
        <v>152</v>
      </c>
      <c r="C164" s="40"/>
      <c r="D164" s="277"/>
      <c r="E164" s="39"/>
      <c r="F164" s="201">
        <f t="shared" ref="F164:M164" si="13">F149</f>
        <v>511000</v>
      </c>
      <c r="G164" s="200">
        <f t="shared" si="13"/>
        <v>511365</v>
      </c>
      <c r="H164" s="200">
        <f t="shared" si="13"/>
        <v>521950</v>
      </c>
      <c r="I164" s="200">
        <f t="shared" si="13"/>
        <v>532389</v>
      </c>
      <c r="J164" s="200">
        <f t="shared" si="13"/>
        <v>537712.89</v>
      </c>
      <c r="K164" s="200">
        <f t="shared" si="13"/>
        <v>543090.01890000014</v>
      </c>
      <c r="L164" s="200">
        <f t="shared" si="13"/>
        <v>545805.4689945</v>
      </c>
      <c r="M164" s="199">
        <f t="shared" si="13"/>
        <v>548534.49633947248</v>
      </c>
    </row>
    <row r="165" spans="1:16" ht="15" customHeight="1" outlineLevel="1">
      <c r="A165" s="7"/>
      <c r="B165" s="211" t="s">
        <v>151</v>
      </c>
      <c r="C165" s="40"/>
      <c r="D165" s="39"/>
      <c r="E165" s="39"/>
      <c r="F165" s="313">
        <f t="shared" ref="F165:M165" si="14">F$8</f>
        <v>2.4E-2</v>
      </c>
      <c r="G165" s="312">
        <f t="shared" si="14"/>
        <v>2.1999999999999999E-2</v>
      </c>
      <c r="H165" s="312">
        <f t="shared" si="14"/>
        <v>2.3E-2</v>
      </c>
      <c r="I165" s="312">
        <f t="shared" si="14"/>
        <v>3.5000000000000003E-2</v>
      </c>
      <c r="J165" s="312">
        <f t="shared" si="14"/>
        <v>0.03</v>
      </c>
      <c r="K165" s="312">
        <f t="shared" si="14"/>
        <v>0.03</v>
      </c>
      <c r="L165" s="312">
        <f t="shared" si="14"/>
        <v>2.5000000000000001E-2</v>
      </c>
      <c r="M165" s="311">
        <f t="shared" si="14"/>
        <v>2.5000000000000001E-2</v>
      </c>
      <c r="P165" s="3"/>
    </row>
    <row r="166" spans="1:16" ht="15" customHeight="1" outlineLevel="1">
      <c r="A166" s="7"/>
      <c r="B166" s="211"/>
      <c r="C166" s="40"/>
      <c r="D166" s="39"/>
      <c r="E166" s="39"/>
      <c r="F166" s="310"/>
      <c r="G166" s="310"/>
      <c r="H166" s="310"/>
      <c r="I166" s="309"/>
      <c r="J166" s="309"/>
      <c r="K166" s="309"/>
      <c r="L166" s="309"/>
      <c r="M166" s="309"/>
      <c r="P166" s="3"/>
    </row>
    <row r="167" spans="1:16" s="7" customFormat="1" ht="15" customHeight="1" outlineLevel="1">
      <c r="B167" s="35" t="s">
        <v>150</v>
      </c>
      <c r="C167" s="278"/>
      <c r="D167" s="277"/>
      <c r="E167" s="8"/>
      <c r="F167" s="308"/>
      <c r="G167" s="308"/>
      <c r="H167" s="308"/>
      <c r="I167" s="181"/>
      <c r="J167" s="181"/>
      <c r="K167" s="181"/>
      <c r="L167" s="181"/>
      <c r="M167" s="181"/>
      <c r="N167" s="3"/>
      <c r="O167" s="3"/>
      <c r="P167" s="3"/>
    </row>
    <row r="168" spans="1:16" s="7" customFormat="1" ht="15" customHeight="1" outlineLevel="1">
      <c r="B168" s="211"/>
      <c r="C168" s="278"/>
      <c r="D168" s="277"/>
      <c r="E168" s="8"/>
      <c r="F168" s="181"/>
      <c r="G168" s="181"/>
      <c r="H168" s="181"/>
      <c r="I168" s="181"/>
      <c r="J168" s="181"/>
      <c r="K168" s="181"/>
      <c r="L168" s="181"/>
      <c r="M168" s="181"/>
      <c r="N168" s="3"/>
      <c r="O168" s="3"/>
      <c r="P168" s="4"/>
    </row>
    <row r="169" spans="1:16" s="7" customFormat="1" ht="15" customHeight="1" outlineLevel="1">
      <c r="B169" s="83" t="s">
        <v>149</v>
      </c>
      <c r="C169" s="40"/>
      <c r="D169" s="277" t="s">
        <v>142</v>
      </c>
      <c r="E169" s="39"/>
      <c r="F169" s="307">
        <v>9.5</v>
      </c>
      <c r="G169" s="307">
        <v>9.7200000000000006</v>
      </c>
      <c r="H169" s="307">
        <v>9.91</v>
      </c>
      <c r="I169" s="306">
        <f t="shared" ref="I169:M170" si="15">H169*(1+I$165)</f>
        <v>10.25685</v>
      </c>
      <c r="J169" s="306">
        <f t="shared" si="15"/>
        <v>10.564555500000001</v>
      </c>
      <c r="K169" s="306">
        <f t="shared" si="15"/>
        <v>10.881492165000001</v>
      </c>
      <c r="L169" s="306">
        <f t="shared" si="15"/>
        <v>11.153529469125001</v>
      </c>
      <c r="M169" s="306">
        <f t="shared" si="15"/>
        <v>11.432367705853125</v>
      </c>
      <c r="P169" s="4"/>
    </row>
    <row r="170" spans="1:16" s="7" customFormat="1" ht="15" customHeight="1" outlineLevel="1">
      <c r="B170" s="83" t="s">
        <v>148</v>
      </c>
      <c r="C170" s="40"/>
      <c r="D170" s="277" t="s">
        <v>142</v>
      </c>
      <c r="E170" s="39"/>
      <c r="F170" s="305">
        <v>0.8</v>
      </c>
      <c r="G170" s="305">
        <v>0.84</v>
      </c>
      <c r="H170" s="305">
        <v>0.86</v>
      </c>
      <c r="I170" s="304">
        <f t="shared" si="15"/>
        <v>0.89009999999999989</v>
      </c>
      <c r="J170" s="304">
        <f t="shared" si="15"/>
        <v>0.91680299999999992</v>
      </c>
      <c r="K170" s="304">
        <f t="shared" si="15"/>
        <v>0.9443070899999999</v>
      </c>
      <c r="L170" s="304">
        <f t="shared" si="15"/>
        <v>0.96791476724999981</v>
      </c>
      <c r="M170" s="304">
        <f t="shared" si="15"/>
        <v>0.99211263643124969</v>
      </c>
      <c r="P170" s="4"/>
    </row>
    <row r="171" spans="1:16" s="7" customFormat="1" ht="15" customHeight="1" outlineLevel="1">
      <c r="B171" s="83" t="s">
        <v>144</v>
      </c>
      <c r="C171" s="278"/>
      <c r="D171" s="277"/>
      <c r="E171" s="8"/>
      <c r="F171" s="297">
        <f t="shared" ref="F171:M171" si="16">SUM(F169:F170)</f>
        <v>10.3</v>
      </c>
      <c r="G171" s="297">
        <f t="shared" si="16"/>
        <v>10.56</v>
      </c>
      <c r="H171" s="297">
        <f t="shared" si="16"/>
        <v>10.77</v>
      </c>
      <c r="I171" s="297">
        <f t="shared" si="16"/>
        <v>11.14695</v>
      </c>
      <c r="J171" s="297">
        <f t="shared" si="16"/>
        <v>11.481358500000001</v>
      </c>
      <c r="K171" s="297">
        <f t="shared" si="16"/>
        <v>11.825799255000002</v>
      </c>
      <c r="L171" s="297">
        <f t="shared" si="16"/>
        <v>12.121444236375</v>
      </c>
      <c r="M171" s="297">
        <f t="shared" si="16"/>
        <v>12.424480342284374</v>
      </c>
      <c r="P171" s="4"/>
    </row>
    <row r="172" spans="1:16" s="7" customFormat="1" ht="15" customHeight="1" outlineLevel="1">
      <c r="B172" s="278"/>
      <c r="C172" s="278"/>
      <c r="D172" s="277"/>
      <c r="E172" s="8"/>
      <c r="F172" s="297"/>
      <c r="G172" s="297"/>
      <c r="H172" s="297"/>
      <c r="I172" s="297"/>
      <c r="J172" s="297"/>
      <c r="K172" s="297"/>
      <c r="L172" s="297"/>
      <c r="M172" s="297"/>
      <c r="P172" s="4"/>
    </row>
    <row r="173" spans="1:16" s="7" customFormat="1" ht="15" customHeight="1" outlineLevel="1">
      <c r="B173" s="83" t="s">
        <v>149</v>
      </c>
      <c r="C173" s="40"/>
      <c r="D173" s="277"/>
      <c r="E173" s="39"/>
      <c r="F173" s="158">
        <f t="shared" ref="F173:M174" si="17">F169*F$164/1000</f>
        <v>4854.5</v>
      </c>
      <c r="G173" s="158">
        <f t="shared" si="17"/>
        <v>4970.4678000000004</v>
      </c>
      <c r="H173" s="158">
        <f t="shared" si="17"/>
        <v>5172.5245000000004</v>
      </c>
      <c r="I173" s="158">
        <f t="shared" si="17"/>
        <v>5460.6341146499999</v>
      </c>
      <c r="J173" s="158">
        <f t="shared" si="17"/>
        <v>5680.6976694703962</v>
      </c>
      <c r="K173" s="158">
        <f t="shared" si="17"/>
        <v>5909.6297855500543</v>
      </c>
      <c r="L173" s="158">
        <f t="shared" si="17"/>
        <v>6087.6573828397477</v>
      </c>
      <c r="M173" s="158">
        <f t="shared" si="17"/>
        <v>6271.0480614977942</v>
      </c>
      <c r="P173" s="70"/>
    </row>
    <row r="174" spans="1:16" s="7" customFormat="1" ht="15" customHeight="1" outlineLevel="1">
      <c r="B174" s="83" t="s">
        <v>148</v>
      </c>
      <c r="C174" s="40"/>
      <c r="D174" s="277"/>
      <c r="E174" s="39"/>
      <c r="F174" s="161">
        <f t="shared" si="17"/>
        <v>408.8</v>
      </c>
      <c r="G174" s="161">
        <f t="shared" si="17"/>
        <v>429.54659999999996</v>
      </c>
      <c r="H174" s="161">
        <f t="shared" si="17"/>
        <v>448.87700000000001</v>
      </c>
      <c r="I174" s="161">
        <f t="shared" si="17"/>
        <v>473.87944889999994</v>
      </c>
      <c r="J174" s="161">
        <f t="shared" si="17"/>
        <v>492.97679069066999</v>
      </c>
      <c r="K174" s="161">
        <f t="shared" si="17"/>
        <v>512.84375535550407</v>
      </c>
      <c r="L174" s="161">
        <f t="shared" si="17"/>
        <v>528.29317348558845</v>
      </c>
      <c r="M174" s="161">
        <f t="shared" si="17"/>
        <v>544.20800533684167</v>
      </c>
      <c r="P174" s="70"/>
    </row>
    <row r="175" spans="1:16" s="7" customFormat="1" ht="15" customHeight="1" outlineLevel="1">
      <c r="B175" s="83" t="s">
        <v>144</v>
      </c>
      <c r="C175" s="278"/>
      <c r="D175" s="277"/>
      <c r="E175" s="8"/>
      <c r="F175" s="158">
        <f t="shared" ref="F175:M175" si="18">SUM(F173:F174)</f>
        <v>5263.3</v>
      </c>
      <c r="G175" s="158">
        <f t="shared" si="18"/>
        <v>5400.0144</v>
      </c>
      <c r="H175" s="158">
        <f t="shared" si="18"/>
        <v>5621.4015000000009</v>
      </c>
      <c r="I175" s="158">
        <f t="shared" si="18"/>
        <v>5934.5135635500001</v>
      </c>
      <c r="J175" s="158">
        <f t="shared" si="18"/>
        <v>6173.6744601610662</v>
      </c>
      <c r="K175" s="158">
        <f t="shared" si="18"/>
        <v>6422.4735409055584</v>
      </c>
      <c r="L175" s="158">
        <f t="shared" si="18"/>
        <v>6615.950556325336</v>
      </c>
      <c r="M175" s="158">
        <f t="shared" si="18"/>
        <v>6815.2560668346359</v>
      </c>
      <c r="N175" s="70"/>
      <c r="O175" s="70"/>
      <c r="P175" s="4"/>
    </row>
    <row r="176" spans="1:16" s="7" customFormat="1" ht="15" customHeight="1" outlineLevel="1">
      <c r="B176" s="296"/>
      <c r="C176" s="279"/>
      <c r="D176" s="264"/>
      <c r="E176" s="282"/>
      <c r="F176" s="300"/>
      <c r="G176" s="300"/>
      <c r="H176" s="300"/>
      <c r="I176" s="300"/>
      <c r="J176" s="300"/>
      <c r="K176" s="300"/>
      <c r="L176" s="300"/>
      <c r="M176" s="300"/>
      <c r="P176" s="4"/>
    </row>
    <row r="177" spans="2:16" s="7" customFormat="1" ht="15" customHeight="1" outlineLevel="1">
      <c r="B177" s="211"/>
      <c r="C177" s="278"/>
      <c r="D177" s="277"/>
      <c r="E177" s="8"/>
      <c r="F177" s="181"/>
      <c r="G177" s="181"/>
      <c r="H177" s="181"/>
      <c r="I177" s="181"/>
      <c r="J177" s="181"/>
      <c r="K177" s="181"/>
      <c r="L177" s="181"/>
      <c r="M177" s="181"/>
      <c r="P177" s="4"/>
    </row>
    <row r="178" spans="2:16" s="7" customFormat="1" ht="15" customHeight="1" outlineLevel="1">
      <c r="B178" s="35" t="s">
        <v>147</v>
      </c>
      <c r="C178" s="278"/>
      <c r="D178" s="277"/>
      <c r="E178" s="8"/>
      <c r="F178" s="181"/>
      <c r="G178" s="181"/>
      <c r="H178" s="181"/>
      <c r="I178" s="181"/>
      <c r="J178" s="181"/>
      <c r="K178" s="181"/>
      <c r="L178" s="181"/>
      <c r="M178" s="181"/>
      <c r="N178" s="3"/>
      <c r="O178" s="3"/>
      <c r="P178" s="4"/>
    </row>
    <row r="179" spans="2:16" s="7" customFormat="1" ht="15" customHeight="1" outlineLevel="1">
      <c r="B179" s="303"/>
      <c r="C179" s="278"/>
      <c r="D179" s="277"/>
      <c r="E179" s="8"/>
      <c r="F179" s="181"/>
      <c r="G179" s="181"/>
      <c r="H179" s="181"/>
      <c r="I179" s="181"/>
      <c r="J179" s="181"/>
      <c r="K179" s="181"/>
      <c r="L179" s="181"/>
      <c r="M179" s="181"/>
      <c r="N179" s="3"/>
      <c r="O179" s="3"/>
      <c r="P179" s="4"/>
    </row>
    <row r="180" spans="2:16" s="7" customFormat="1" ht="15" customHeight="1" outlineLevel="1">
      <c r="B180" s="83" t="s">
        <v>146</v>
      </c>
      <c r="C180" s="40"/>
      <c r="D180" s="277" t="s">
        <v>142</v>
      </c>
      <c r="E180" s="39"/>
      <c r="F180" s="297">
        <f t="shared" ref="F180:M181" si="19">(F184*1000)/F$164</f>
        <v>30.587084148727985</v>
      </c>
      <c r="G180" s="297">
        <f t="shared" si="19"/>
        <v>31.236005592873976</v>
      </c>
      <c r="H180" s="297">
        <f t="shared" si="19"/>
        <v>31.307596513075964</v>
      </c>
      <c r="I180" s="297">
        <f t="shared" si="19"/>
        <v>31.768002344150606</v>
      </c>
      <c r="J180" s="297">
        <f t="shared" si="19"/>
        <v>32.397071697500131</v>
      </c>
      <c r="K180" s="297">
        <f t="shared" si="19"/>
        <v>33.038597869727845</v>
      </c>
      <c r="L180" s="297">
        <f t="shared" si="19"/>
        <v>33.696082404448809</v>
      </c>
      <c r="M180" s="297">
        <f t="shared" si="19"/>
        <v>34.366651208517439</v>
      </c>
      <c r="P180" s="70"/>
    </row>
    <row r="181" spans="2:16" s="7" customFormat="1" ht="15" customHeight="1" outlineLevel="1">
      <c r="B181" s="83" t="s">
        <v>145</v>
      </c>
      <c r="C181" s="40"/>
      <c r="D181" s="277" t="s">
        <v>142</v>
      </c>
      <c r="E181" s="39"/>
      <c r="F181" s="298">
        <f t="shared" si="19"/>
        <v>7.1448140900195698</v>
      </c>
      <c r="G181" s="298">
        <f t="shared" si="19"/>
        <v>7.2961583213555876</v>
      </c>
      <c r="H181" s="298">
        <f t="shared" si="19"/>
        <v>7.312961011591149</v>
      </c>
      <c r="I181" s="298">
        <f t="shared" si="19"/>
        <v>7.4205045558792539</v>
      </c>
      <c r="J181" s="298">
        <f t="shared" si="19"/>
        <v>7.5674452401540906</v>
      </c>
      <c r="K181" s="298">
        <f t="shared" si="19"/>
        <v>7.7172956409492199</v>
      </c>
      <c r="L181" s="298">
        <f t="shared" si="19"/>
        <v>7.8708736636546774</v>
      </c>
      <c r="M181" s="298">
        <f t="shared" si="19"/>
        <v>8.0275079654189501</v>
      </c>
      <c r="P181" s="70"/>
    </row>
    <row r="182" spans="2:16" s="7" customFormat="1" ht="15" customHeight="1" outlineLevel="1">
      <c r="B182" s="83" t="s">
        <v>144</v>
      </c>
      <c r="C182" s="278"/>
      <c r="D182" s="277"/>
      <c r="E182" s="8"/>
      <c r="F182" s="297">
        <f t="shared" ref="F182:M182" si="20">SUM(F180:F181)</f>
        <v>37.731898238747554</v>
      </c>
      <c r="G182" s="297">
        <f t="shared" si="20"/>
        <v>38.532163914229564</v>
      </c>
      <c r="H182" s="297">
        <f t="shared" si="20"/>
        <v>38.620557524667113</v>
      </c>
      <c r="I182" s="297">
        <f t="shared" si="20"/>
        <v>39.188506900029857</v>
      </c>
      <c r="J182" s="297">
        <f t="shared" si="20"/>
        <v>39.964516937654224</v>
      </c>
      <c r="K182" s="297">
        <f t="shared" si="20"/>
        <v>40.755893510677062</v>
      </c>
      <c r="L182" s="297">
        <f t="shared" si="20"/>
        <v>41.566956068103487</v>
      </c>
      <c r="M182" s="297">
        <f t="shared" si="20"/>
        <v>42.394159173936387</v>
      </c>
      <c r="P182" s="4"/>
    </row>
    <row r="183" spans="2:16" s="7" customFormat="1" ht="15" customHeight="1" outlineLevel="1">
      <c r="B183" s="278"/>
      <c r="C183" s="278"/>
      <c r="D183" s="277"/>
      <c r="E183" s="8"/>
      <c r="F183" s="181"/>
      <c r="G183" s="181"/>
      <c r="H183" s="181"/>
      <c r="I183" s="181"/>
      <c r="J183" s="181"/>
      <c r="K183" s="181"/>
      <c r="L183" s="181"/>
      <c r="M183" s="181"/>
      <c r="P183" s="4"/>
    </row>
    <row r="184" spans="2:16" s="7" customFormat="1" ht="15" customHeight="1" outlineLevel="1">
      <c r="B184" s="83" t="s">
        <v>146</v>
      </c>
      <c r="C184" s="40"/>
      <c r="D184" s="269"/>
      <c r="E184" s="39"/>
      <c r="F184" s="269">
        <v>15630</v>
      </c>
      <c r="G184" s="269">
        <v>15973</v>
      </c>
      <c r="H184" s="269">
        <v>16341</v>
      </c>
      <c r="I184" s="186">
        <f t="shared" ref="I184:M185" si="21">H184*(1+I$165)</f>
        <v>16912.934999999998</v>
      </c>
      <c r="J184" s="186">
        <f t="shared" si="21"/>
        <v>17420.323049999999</v>
      </c>
      <c r="K184" s="186">
        <f t="shared" si="21"/>
        <v>17942.932741500001</v>
      </c>
      <c r="L184" s="186">
        <f t="shared" si="21"/>
        <v>18391.5060600375</v>
      </c>
      <c r="M184" s="186">
        <f t="shared" si="21"/>
        <v>18851.293711538437</v>
      </c>
      <c r="P184" s="4"/>
    </row>
    <row r="185" spans="2:16" s="7" customFormat="1" ht="15" customHeight="1" outlineLevel="1">
      <c r="B185" s="83" t="s">
        <v>145</v>
      </c>
      <c r="C185" s="40"/>
      <c r="D185" s="277"/>
      <c r="E185" s="39"/>
      <c r="F185" s="295">
        <v>3651</v>
      </c>
      <c r="G185" s="295">
        <v>3731</v>
      </c>
      <c r="H185" s="295">
        <v>3817</v>
      </c>
      <c r="I185" s="302">
        <f t="shared" si="21"/>
        <v>3950.5949999999998</v>
      </c>
      <c r="J185" s="302">
        <f t="shared" si="21"/>
        <v>4069.11285</v>
      </c>
      <c r="K185" s="302">
        <f t="shared" si="21"/>
        <v>4191.1862355000003</v>
      </c>
      <c r="L185" s="302">
        <f t="shared" si="21"/>
        <v>4295.9658913875001</v>
      </c>
      <c r="M185" s="302">
        <f t="shared" si="21"/>
        <v>4403.3650386721874</v>
      </c>
      <c r="P185" s="4"/>
    </row>
    <row r="186" spans="2:16" s="7" customFormat="1" ht="15" customHeight="1" outlineLevel="1">
      <c r="B186" s="83" t="s">
        <v>144</v>
      </c>
      <c r="C186" s="278"/>
      <c r="D186" s="277"/>
      <c r="E186" s="8"/>
      <c r="F186" s="158">
        <f t="shared" ref="F186:M186" si="22">SUM(F184:F185)</f>
        <v>19281</v>
      </c>
      <c r="G186" s="158">
        <f t="shared" si="22"/>
        <v>19704</v>
      </c>
      <c r="H186" s="158">
        <f t="shared" si="22"/>
        <v>20158</v>
      </c>
      <c r="I186" s="158">
        <f t="shared" si="22"/>
        <v>20863.53</v>
      </c>
      <c r="J186" s="158">
        <f t="shared" si="22"/>
        <v>21489.4359</v>
      </c>
      <c r="K186" s="158">
        <f t="shared" si="22"/>
        <v>22134.118977000002</v>
      </c>
      <c r="L186" s="158">
        <f t="shared" si="22"/>
        <v>22687.471951424999</v>
      </c>
      <c r="M186" s="158">
        <f t="shared" si="22"/>
        <v>23254.658750210627</v>
      </c>
      <c r="P186" s="4"/>
    </row>
    <row r="187" spans="2:16" s="7" customFormat="1" ht="15" customHeight="1" outlineLevel="1">
      <c r="B187" s="296"/>
      <c r="C187" s="279"/>
      <c r="D187" s="264"/>
      <c r="E187" s="282"/>
      <c r="F187" s="300"/>
      <c r="G187" s="301"/>
      <c r="H187" s="301"/>
      <c r="I187" s="300"/>
      <c r="J187" s="300"/>
      <c r="K187" s="300"/>
      <c r="L187" s="300"/>
      <c r="M187" s="300"/>
      <c r="P187" s="4"/>
    </row>
    <row r="188" spans="2:16" s="7" customFormat="1" ht="15" customHeight="1" outlineLevel="1">
      <c r="B188" s="211"/>
      <c r="C188" s="278"/>
      <c r="D188" s="277"/>
      <c r="E188" s="8"/>
      <c r="F188" s="181"/>
      <c r="G188" s="299"/>
      <c r="H188" s="299"/>
      <c r="I188" s="181"/>
      <c r="J188" s="181"/>
      <c r="K188" s="181"/>
      <c r="L188" s="181"/>
      <c r="M188" s="181"/>
      <c r="P188" s="4"/>
    </row>
    <row r="189" spans="2:16" s="7" customFormat="1" ht="15" customHeight="1" outlineLevel="1">
      <c r="B189" s="35" t="s">
        <v>143</v>
      </c>
      <c r="C189" s="278"/>
      <c r="D189" s="277"/>
      <c r="E189" s="8"/>
      <c r="F189" s="181"/>
      <c r="G189" s="181"/>
      <c r="H189" s="181"/>
      <c r="I189" s="181"/>
      <c r="P189" s="4"/>
    </row>
    <row r="190" spans="2:16" s="7" customFormat="1" ht="15" customHeight="1" outlineLevel="1">
      <c r="B190" s="35"/>
      <c r="C190" s="278"/>
      <c r="D190" s="277"/>
      <c r="E190" s="8"/>
      <c r="F190" s="181"/>
      <c r="G190" s="181"/>
      <c r="H190" s="181"/>
      <c r="I190" s="181"/>
      <c r="J190" s="181"/>
      <c r="K190" s="181"/>
      <c r="L190" s="181"/>
      <c r="M190" s="181"/>
      <c r="P190" s="4"/>
    </row>
    <row r="191" spans="2:16" s="7" customFormat="1" ht="15" customHeight="1" outlineLevel="1">
      <c r="B191" s="83" t="s">
        <v>141</v>
      </c>
      <c r="C191" s="278"/>
      <c r="D191" s="277" t="s">
        <v>142</v>
      </c>
      <c r="E191" s="8"/>
      <c r="F191" s="297">
        <f t="shared" ref="F191:M191" si="23">F171</f>
        <v>10.3</v>
      </c>
      <c r="G191" s="297">
        <f t="shared" si="23"/>
        <v>10.56</v>
      </c>
      <c r="H191" s="297">
        <f t="shared" si="23"/>
        <v>10.77</v>
      </c>
      <c r="I191" s="297">
        <f t="shared" si="23"/>
        <v>11.14695</v>
      </c>
      <c r="J191" s="297">
        <f t="shared" si="23"/>
        <v>11.481358500000001</v>
      </c>
      <c r="K191" s="297">
        <f t="shared" si="23"/>
        <v>11.825799255000002</v>
      </c>
      <c r="L191" s="297">
        <f t="shared" si="23"/>
        <v>12.121444236375</v>
      </c>
      <c r="M191" s="297">
        <f t="shared" si="23"/>
        <v>12.424480342284374</v>
      </c>
      <c r="P191" s="4"/>
    </row>
    <row r="192" spans="2:16" s="7" customFormat="1" ht="15" customHeight="1" outlineLevel="1">
      <c r="B192" s="83" t="s">
        <v>140</v>
      </c>
      <c r="C192" s="278"/>
      <c r="D192" s="277" t="s">
        <v>142</v>
      </c>
      <c r="E192" s="8"/>
      <c r="F192" s="298">
        <f t="shared" ref="F192:M192" si="24">F182</f>
        <v>37.731898238747554</v>
      </c>
      <c r="G192" s="298">
        <f t="shared" si="24"/>
        <v>38.532163914229564</v>
      </c>
      <c r="H192" s="298">
        <f t="shared" si="24"/>
        <v>38.620557524667113</v>
      </c>
      <c r="I192" s="298">
        <f t="shared" si="24"/>
        <v>39.188506900029857</v>
      </c>
      <c r="J192" s="298">
        <f t="shared" si="24"/>
        <v>39.964516937654224</v>
      </c>
      <c r="K192" s="298">
        <f t="shared" si="24"/>
        <v>40.755893510677062</v>
      </c>
      <c r="L192" s="298">
        <f t="shared" si="24"/>
        <v>41.566956068103487</v>
      </c>
      <c r="M192" s="298">
        <f t="shared" si="24"/>
        <v>42.394159173936387</v>
      </c>
      <c r="P192" s="4"/>
    </row>
    <row r="193" spans="1:16" s="7" customFormat="1" ht="15" customHeight="1" outlineLevel="1">
      <c r="B193" s="83" t="s">
        <v>139</v>
      </c>
      <c r="C193" s="278"/>
      <c r="D193" s="277" t="s">
        <v>142</v>
      </c>
      <c r="E193" s="8"/>
      <c r="F193" s="297">
        <f t="shared" ref="F193:M193" si="25">SUM(F191:F192)</f>
        <v>48.031898238747559</v>
      </c>
      <c r="G193" s="297">
        <f t="shared" si="25"/>
        <v>49.092163914229566</v>
      </c>
      <c r="H193" s="297">
        <f t="shared" si="25"/>
        <v>49.390557524667116</v>
      </c>
      <c r="I193" s="297">
        <f t="shared" si="25"/>
        <v>50.335456900029854</v>
      </c>
      <c r="J193" s="297">
        <f t="shared" si="25"/>
        <v>51.445875437654223</v>
      </c>
      <c r="K193" s="297">
        <f t="shared" si="25"/>
        <v>52.581692765677062</v>
      </c>
      <c r="L193" s="297">
        <f t="shared" si="25"/>
        <v>53.688400304478485</v>
      </c>
      <c r="M193" s="297">
        <f t="shared" si="25"/>
        <v>54.818639516220763</v>
      </c>
      <c r="P193" s="4"/>
    </row>
    <row r="194" spans="1:16" s="7" customFormat="1" ht="15" customHeight="1" outlineLevel="1">
      <c r="B194" s="211"/>
      <c r="C194" s="278"/>
      <c r="D194" s="277"/>
      <c r="E194" s="8"/>
      <c r="F194" s="297"/>
      <c r="G194" s="297"/>
      <c r="H194" s="297"/>
      <c r="I194" s="297"/>
      <c r="J194" s="297"/>
      <c r="K194" s="297"/>
      <c r="L194" s="297"/>
      <c r="M194" s="297"/>
      <c r="P194" s="4"/>
    </row>
    <row r="195" spans="1:16" s="7" customFormat="1" ht="15" customHeight="1" outlineLevel="1">
      <c r="B195" s="83" t="s">
        <v>141</v>
      </c>
      <c r="C195" s="278"/>
      <c r="D195" s="277"/>
      <c r="E195" s="8"/>
      <c r="F195" s="158">
        <f t="shared" ref="F195:M195" si="26">F175</f>
        <v>5263.3</v>
      </c>
      <c r="G195" s="158">
        <f t="shared" si="26"/>
        <v>5400.0144</v>
      </c>
      <c r="H195" s="158">
        <f t="shared" si="26"/>
        <v>5621.4015000000009</v>
      </c>
      <c r="I195" s="158">
        <f t="shared" si="26"/>
        <v>5934.5135635500001</v>
      </c>
      <c r="J195" s="158">
        <f t="shared" si="26"/>
        <v>6173.6744601610662</v>
      </c>
      <c r="K195" s="158">
        <f t="shared" si="26"/>
        <v>6422.4735409055584</v>
      </c>
      <c r="L195" s="158">
        <f t="shared" si="26"/>
        <v>6615.950556325336</v>
      </c>
      <c r="M195" s="158">
        <f t="shared" si="26"/>
        <v>6815.2560668346359</v>
      </c>
      <c r="P195" s="4"/>
    </row>
    <row r="196" spans="1:16" s="7" customFormat="1" ht="15" customHeight="1" outlineLevel="1">
      <c r="B196" s="83" t="s">
        <v>140</v>
      </c>
      <c r="C196" s="278"/>
      <c r="D196" s="277"/>
      <c r="E196" s="8"/>
      <c r="F196" s="158">
        <f t="shared" ref="F196:M196" si="27">F186</f>
        <v>19281</v>
      </c>
      <c r="G196" s="158">
        <f t="shared" si="27"/>
        <v>19704</v>
      </c>
      <c r="H196" s="158">
        <f t="shared" si="27"/>
        <v>20158</v>
      </c>
      <c r="I196" s="158">
        <f t="shared" si="27"/>
        <v>20863.53</v>
      </c>
      <c r="J196" s="158">
        <f t="shared" si="27"/>
        <v>21489.4359</v>
      </c>
      <c r="K196" s="158">
        <f t="shared" si="27"/>
        <v>22134.118977000002</v>
      </c>
      <c r="L196" s="158">
        <f t="shared" si="27"/>
        <v>22687.471951424999</v>
      </c>
      <c r="M196" s="158">
        <f t="shared" si="27"/>
        <v>23254.658750210627</v>
      </c>
      <c r="P196" s="4"/>
    </row>
    <row r="197" spans="1:16" s="7" customFormat="1" ht="15" customHeight="1" outlineLevel="1" thickBot="1">
      <c r="B197" s="83" t="s">
        <v>139</v>
      </c>
      <c r="C197" s="278"/>
      <c r="D197" s="277"/>
      <c r="E197" s="8"/>
      <c r="F197" s="180">
        <f t="shared" ref="F197:M197" si="28">SUM(F195:F196)</f>
        <v>24544.3</v>
      </c>
      <c r="G197" s="180">
        <f t="shared" si="28"/>
        <v>25104.0144</v>
      </c>
      <c r="H197" s="180">
        <f t="shared" si="28"/>
        <v>25779.4015</v>
      </c>
      <c r="I197" s="180">
        <f t="shared" si="28"/>
        <v>26798.04356355</v>
      </c>
      <c r="J197" s="180">
        <f t="shared" si="28"/>
        <v>27663.110360161067</v>
      </c>
      <c r="K197" s="180">
        <f t="shared" si="28"/>
        <v>28556.592517905559</v>
      </c>
      <c r="L197" s="180">
        <f t="shared" si="28"/>
        <v>29303.422507750336</v>
      </c>
      <c r="M197" s="180">
        <f t="shared" si="28"/>
        <v>30069.914817045261</v>
      </c>
      <c r="P197" s="4"/>
    </row>
    <row r="198" spans="1:16" s="7" customFormat="1" ht="15" customHeight="1" outlineLevel="1">
      <c r="B198" s="35"/>
      <c r="C198" s="278"/>
      <c r="D198" s="277"/>
      <c r="E198" s="8"/>
      <c r="F198" s="158"/>
      <c r="G198" s="158"/>
      <c r="H198" s="158"/>
      <c r="I198" s="158"/>
      <c r="J198" s="158"/>
      <c r="K198" s="158"/>
      <c r="L198" s="158"/>
      <c r="M198" s="158"/>
      <c r="P198" s="4"/>
    </row>
    <row r="199" spans="1:16" s="7" customFormat="1" ht="15" customHeight="1" outlineLevel="1">
      <c r="B199" s="296"/>
      <c r="C199" s="153"/>
      <c r="D199" s="264"/>
      <c r="E199" s="152"/>
      <c r="F199" s="295"/>
      <c r="G199" s="295"/>
      <c r="H199" s="294"/>
      <c r="I199" s="294"/>
      <c r="J199" s="294"/>
      <c r="K199" s="294"/>
      <c r="L199" s="294"/>
      <c r="M199" s="294"/>
      <c r="N199" s="3"/>
      <c r="O199" s="3"/>
    </row>
    <row r="200" spans="1:16" s="7" customFormat="1" ht="15" customHeight="1">
      <c r="B200" s="211"/>
      <c r="C200" s="40"/>
      <c r="D200" s="277"/>
      <c r="E200" s="39"/>
      <c r="F200" s="269"/>
      <c r="G200" s="269"/>
      <c r="H200" s="293"/>
      <c r="I200" s="293"/>
      <c r="J200" s="293"/>
      <c r="K200" s="293"/>
      <c r="L200" s="293"/>
      <c r="M200" s="293"/>
      <c r="N200" s="3"/>
      <c r="O200" s="3"/>
    </row>
    <row r="201" spans="1:16" s="149" customFormat="1" ht="15" customHeight="1">
      <c r="A201" s="149" t="s">
        <v>0</v>
      </c>
      <c r="B201" s="45" t="s">
        <v>138</v>
      </c>
      <c r="C201" s="44"/>
      <c r="D201" s="169"/>
      <c r="E201" s="169"/>
      <c r="F201" s="42"/>
      <c r="G201" s="42"/>
      <c r="H201" s="42"/>
      <c r="I201" s="168"/>
      <c r="J201" s="167"/>
      <c r="K201" s="167"/>
      <c r="L201" s="167"/>
      <c r="M201" s="167"/>
      <c r="N201" s="3"/>
      <c r="O201" s="3"/>
    </row>
    <row r="202" spans="1:16" s="149" customFormat="1" ht="15" customHeight="1" outlineLevel="1">
      <c r="B202" s="147"/>
      <c r="C202" s="40"/>
      <c r="D202" s="146"/>
      <c r="E202" s="146"/>
      <c r="F202" s="145"/>
      <c r="G202" s="145"/>
      <c r="H202" s="145"/>
      <c r="I202" s="145"/>
      <c r="J202" s="145"/>
      <c r="K202" s="145"/>
      <c r="L202" s="145"/>
      <c r="M202" s="145"/>
      <c r="N202" s="150"/>
      <c r="O202" s="150"/>
    </row>
    <row r="203" spans="1:16" s="149" customFormat="1" ht="15" customHeight="1" outlineLevel="1" thickBot="1">
      <c r="B203" s="41" t="s">
        <v>15</v>
      </c>
      <c r="C203" s="40"/>
      <c r="D203" s="39"/>
      <c r="E203" s="39"/>
      <c r="F203" s="165">
        <f t="shared" ref="F203:M203" si="29">F$5</f>
        <v>2020</v>
      </c>
      <c r="G203" s="165">
        <f t="shared" si="29"/>
        <v>2021</v>
      </c>
      <c r="H203" s="165">
        <f t="shared" si="29"/>
        <v>2022</v>
      </c>
      <c r="I203" s="105">
        <f t="shared" si="29"/>
        <v>2023</v>
      </c>
      <c r="J203" s="105">
        <f t="shared" si="29"/>
        <v>2024</v>
      </c>
      <c r="K203" s="105">
        <f t="shared" si="29"/>
        <v>2025</v>
      </c>
      <c r="L203" s="105">
        <f t="shared" si="29"/>
        <v>2026</v>
      </c>
      <c r="M203" s="105">
        <f t="shared" si="29"/>
        <v>2027</v>
      </c>
      <c r="P203" s="4"/>
    </row>
    <row r="204" spans="1:16" ht="15" customHeight="1" outlineLevel="1">
      <c r="A204" s="7"/>
      <c r="B204" s="41" t="str">
        <f>B$6</f>
        <v>Model Running: Base Case Drivers</v>
      </c>
      <c r="C204" s="40"/>
      <c r="D204" s="39"/>
      <c r="E204" s="39"/>
      <c r="F204" s="39"/>
      <c r="G204" s="39"/>
      <c r="H204" s="39"/>
      <c r="I204" s="159"/>
      <c r="J204" s="159"/>
      <c r="K204" s="159"/>
      <c r="L204" s="159"/>
      <c r="M204" s="159"/>
      <c r="P204" s="3"/>
    </row>
    <row r="205" spans="1:16" s="149" customFormat="1" ht="15" customHeight="1" outlineLevel="1">
      <c r="B205" s="41"/>
      <c r="C205" s="40"/>
      <c r="D205" s="39"/>
      <c r="E205" s="39"/>
      <c r="F205" s="39"/>
      <c r="G205" s="39"/>
      <c r="H205" s="39"/>
      <c r="N205" s="150"/>
      <c r="O205" s="150"/>
    </row>
    <row r="206" spans="1:16" s="7" customFormat="1" ht="15" customHeight="1" outlineLevel="1">
      <c r="B206" s="83" t="s">
        <v>37</v>
      </c>
      <c r="C206" s="278"/>
      <c r="D206" s="277"/>
      <c r="E206" s="8"/>
      <c r="F206" s="201">
        <f t="shared" ref="F206:M206" si="30">F136</f>
        <v>365</v>
      </c>
      <c r="G206" s="200">
        <f t="shared" si="30"/>
        <v>365</v>
      </c>
      <c r="H206" s="200">
        <f t="shared" si="30"/>
        <v>365</v>
      </c>
      <c r="I206" s="200">
        <f t="shared" si="30"/>
        <v>365</v>
      </c>
      <c r="J206" s="200">
        <f t="shared" si="30"/>
        <v>365</v>
      </c>
      <c r="K206" s="200">
        <f t="shared" si="30"/>
        <v>365</v>
      </c>
      <c r="L206" s="200">
        <f t="shared" si="30"/>
        <v>365</v>
      </c>
      <c r="M206" s="199">
        <f t="shared" si="30"/>
        <v>365</v>
      </c>
      <c r="N206" s="3"/>
      <c r="O206" s="3"/>
    </row>
    <row r="207" spans="1:16" s="7" customFormat="1" ht="15" customHeight="1" outlineLevel="1">
      <c r="B207" s="83" t="s">
        <v>13</v>
      </c>
      <c r="C207" s="8"/>
      <c r="D207" s="8"/>
      <c r="E207" s="8"/>
      <c r="F207" s="292">
        <f t="shared" ref="F207:M207" si="31">F11</f>
        <v>50589</v>
      </c>
      <c r="G207" s="158">
        <f t="shared" si="31"/>
        <v>51647.864999999998</v>
      </c>
      <c r="H207" s="158">
        <f t="shared" si="31"/>
        <v>53760.85</v>
      </c>
      <c r="I207" s="158">
        <f t="shared" si="31"/>
        <v>56481.149010000008</v>
      </c>
      <c r="J207" s="158">
        <f t="shared" si="31"/>
        <v>57616.420105101002</v>
      </c>
      <c r="K207" s="158">
        <f t="shared" si="31"/>
        <v>58774.510149213551</v>
      </c>
      <c r="L207" s="158">
        <f t="shared" si="31"/>
        <v>59659.066526959199</v>
      </c>
      <c r="M207" s="291">
        <f t="shared" si="31"/>
        <v>60257.148668891954</v>
      </c>
      <c r="N207" s="3"/>
      <c r="O207" s="3"/>
    </row>
    <row r="208" spans="1:16" s="7" customFormat="1" ht="15" customHeight="1" outlineLevel="1">
      <c r="B208" s="83" t="s">
        <v>137</v>
      </c>
      <c r="C208" s="8"/>
      <c r="D208" s="8"/>
      <c r="E208" s="8"/>
      <c r="F208" s="290">
        <f t="shared" ref="F208:M208" si="32">-F12</f>
        <v>24544.3</v>
      </c>
      <c r="G208" s="161">
        <f t="shared" si="32"/>
        <v>25104.0144</v>
      </c>
      <c r="H208" s="161">
        <f t="shared" si="32"/>
        <v>25779.4015</v>
      </c>
      <c r="I208" s="161">
        <f t="shared" si="32"/>
        <v>26798.04356355</v>
      </c>
      <c r="J208" s="161">
        <f t="shared" si="32"/>
        <v>27663.110360161067</v>
      </c>
      <c r="K208" s="161">
        <f t="shared" si="32"/>
        <v>28556.592517905559</v>
      </c>
      <c r="L208" s="161">
        <f t="shared" si="32"/>
        <v>29303.422507750336</v>
      </c>
      <c r="M208" s="289">
        <f t="shared" si="32"/>
        <v>30069.914817045261</v>
      </c>
      <c r="N208" s="3"/>
      <c r="O208" s="3"/>
    </row>
    <row r="209" spans="2:16" s="7" customFormat="1" ht="15" customHeight="1" outlineLevel="1">
      <c r="C209" s="21"/>
      <c r="D209" s="8"/>
      <c r="E209" s="8"/>
      <c r="F209" s="8"/>
      <c r="G209" s="8"/>
      <c r="H209" s="8"/>
      <c r="I209" s="280"/>
      <c r="J209" s="280"/>
      <c r="K209" s="280"/>
      <c r="L209" s="280"/>
      <c r="M209" s="280"/>
      <c r="N209" s="150"/>
      <c r="O209" s="150"/>
    </row>
    <row r="210" spans="2:16" s="7" customFormat="1" ht="15" customHeight="1" outlineLevel="1">
      <c r="C210" s="21"/>
      <c r="D210" s="8"/>
      <c r="E210" s="8"/>
      <c r="F210" s="8"/>
      <c r="G210" s="8"/>
      <c r="H210" s="8"/>
      <c r="I210" s="280"/>
      <c r="J210" s="280"/>
      <c r="K210" s="280"/>
      <c r="L210" s="280"/>
      <c r="M210" s="280"/>
      <c r="N210" s="150"/>
      <c r="O210" s="150"/>
    </row>
    <row r="211" spans="2:16" s="7" customFormat="1" ht="15" customHeight="1" outlineLevel="1">
      <c r="B211" s="35" t="s">
        <v>136</v>
      </c>
      <c r="C211" s="21"/>
      <c r="D211" s="8"/>
      <c r="E211" s="8"/>
      <c r="F211" s="8"/>
      <c r="G211" s="8"/>
      <c r="H211" s="8"/>
      <c r="I211" s="280"/>
      <c r="J211" s="280"/>
      <c r="K211" s="280"/>
      <c r="L211" s="280"/>
      <c r="M211" s="280"/>
      <c r="N211" s="150"/>
      <c r="O211" s="150"/>
      <c r="P211" s="121"/>
    </row>
    <row r="212" spans="2:16" s="7" customFormat="1" ht="15" customHeight="1" outlineLevel="1">
      <c r="B212" s="18" t="s">
        <v>51</v>
      </c>
      <c r="C212" s="8"/>
      <c r="D212" s="277" t="s">
        <v>48</v>
      </c>
      <c r="E212" s="277"/>
      <c r="F212" s="186">
        <f t="shared" ref="F212:H213" si="33">(F218/F207)*F$206</f>
        <v>41.18326118326118</v>
      </c>
      <c r="G212" s="186">
        <f t="shared" si="33"/>
        <v>44.755867449700006</v>
      </c>
      <c r="H212" s="186">
        <f t="shared" si="33"/>
        <v>44.972503224930414</v>
      </c>
      <c r="I212" s="186">
        <f>Inputs!H37</f>
        <v>45</v>
      </c>
      <c r="J212" s="186">
        <f>Inputs!I37</f>
        <v>45</v>
      </c>
      <c r="K212" s="186">
        <f>Inputs!J37</f>
        <v>45</v>
      </c>
      <c r="L212" s="186">
        <f>Inputs!K37</f>
        <v>45</v>
      </c>
      <c r="M212" s="186">
        <f>Inputs!L37</f>
        <v>45</v>
      </c>
      <c r="P212" s="70"/>
    </row>
    <row r="213" spans="2:16" s="7" customFormat="1" ht="15" customHeight="1" outlineLevel="1">
      <c r="B213" s="18" t="s">
        <v>50</v>
      </c>
      <c r="C213" s="8"/>
      <c r="D213" s="277" t="s">
        <v>48</v>
      </c>
      <c r="E213" s="277"/>
      <c r="F213" s="186">
        <f t="shared" si="33"/>
        <v>26.648957191690126</v>
      </c>
      <c r="G213" s="186">
        <f t="shared" si="33"/>
        <v>27.959472489786332</v>
      </c>
      <c r="H213" s="186">
        <f t="shared" si="33"/>
        <v>28.444609158207186</v>
      </c>
      <c r="I213" s="186">
        <f>Inputs!H38</f>
        <v>25</v>
      </c>
      <c r="J213" s="186">
        <f>Inputs!I38</f>
        <v>25</v>
      </c>
      <c r="K213" s="186">
        <f>Inputs!J38</f>
        <v>25</v>
      </c>
      <c r="L213" s="186">
        <f>Inputs!K38</f>
        <v>25</v>
      </c>
      <c r="M213" s="186">
        <f>Inputs!L38</f>
        <v>25</v>
      </c>
      <c r="P213" s="70"/>
    </row>
    <row r="214" spans="2:16" s="7" customFormat="1" ht="15" customHeight="1" outlineLevel="1">
      <c r="B214" s="18" t="s">
        <v>49</v>
      </c>
      <c r="C214" s="8"/>
      <c r="D214" s="277" t="s">
        <v>48</v>
      </c>
      <c r="E214" s="277"/>
      <c r="F214" s="186">
        <f>(F220/F208)*F$206</f>
        <v>44.970115260977096</v>
      </c>
      <c r="G214" s="186">
        <f>(G220/G208)*G$206</f>
        <v>46.599120816310553</v>
      </c>
      <c r="H214" s="186">
        <f>(H220/H208)*H$206</f>
        <v>46.992363263359699</v>
      </c>
      <c r="I214" s="186">
        <f>Inputs!H39</f>
        <v>40</v>
      </c>
      <c r="J214" s="186">
        <f>Inputs!I39</f>
        <v>40</v>
      </c>
      <c r="K214" s="186">
        <f>Inputs!J39</f>
        <v>40</v>
      </c>
      <c r="L214" s="186">
        <f>Inputs!K39</f>
        <v>40</v>
      </c>
      <c r="M214" s="186">
        <f>Inputs!L39</f>
        <v>40</v>
      </c>
      <c r="P214" s="70"/>
    </row>
    <row r="215" spans="2:16" s="7" customFormat="1" ht="15" customHeight="1" outlineLevel="1">
      <c r="C215" s="8"/>
      <c r="D215" s="288"/>
      <c r="E215" s="288"/>
      <c r="F215" s="287"/>
      <c r="G215" s="286"/>
      <c r="H215" s="286"/>
      <c r="I215" s="285"/>
      <c r="J215" s="285"/>
      <c r="K215" s="285"/>
      <c r="L215" s="285"/>
      <c r="M215" s="285"/>
      <c r="P215" s="164"/>
    </row>
    <row r="216" spans="2:16" s="7" customFormat="1" ht="15" customHeight="1" outlineLevel="1">
      <c r="C216" s="8"/>
      <c r="D216" s="288"/>
      <c r="E216" s="288"/>
      <c r="F216" s="287"/>
      <c r="G216" s="286"/>
      <c r="H216" s="286"/>
      <c r="I216" s="285"/>
      <c r="J216" s="285"/>
      <c r="K216" s="285"/>
      <c r="L216" s="285"/>
      <c r="M216" s="285"/>
      <c r="P216" s="164"/>
    </row>
    <row r="217" spans="2:16" s="7" customFormat="1" ht="15" customHeight="1" outlineLevel="1">
      <c r="B217" s="35" t="s">
        <v>135</v>
      </c>
      <c r="C217" s="21"/>
      <c r="D217" s="8"/>
      <c r="E217" s="8"/>
      <c r="F217" s="8"/>
      <c r="G217" s="8"/>
      <c r="H217" s="8"/>
      <c r="I217" s="280"/>
      <c r="J217" s="280"/>
      <c r="K217" s="280"/>
      <c r="L217" s="280"/>
      <c r="M217" s="280"/>
      <c r="N217" s="150"/>
      <c r="O217" s="150"/>
    </row>
    <row r="218" spans="2:16" s="7" customFormat="1" ht="15" customHeight="1" outlineLevel="1">
      <c r="B218" s="18" t="s">
        <v>51</v>
      </c>
      <c r="C218" s="8"/>
      <c r="D218" s="8"/>
      <c r="E218" s="8"/>
      <c r="F218" s="158">
        <f t="shared" ref="F218:H219" si="34">F83</f>
        <v>5708</v>
      </c>
      <c r="G218" s="158">
        <f t="shared" si="34"/>
        <v>6333</v>
      </c>
      <c r="H218" s="158">
        <f t="shared" si="34"/>
        <v>6624</v>
      </c>
      <c r="I218" s="158">
        <f t="shared" ref="I218:M219" si="35">(I212/I$206)*I207</f>
        <v>6963.4293300000008</v>
      </c>
      <c r="J218" s="158">
        <f t="shared" si="35"/>
        <v>7103.394259533</v>
      </c>
      <c r="K218" s="158">
        <f t="shared" si="35"/>
        <v>7246.1724841496152</v>
      </c>
      <c r="L218" s="158">
        <f t="shared" si="35"/>
        <v>7355.2273800360654</v>
      </c>
      <c r="M218" s="158">
        <f t="shared" si="35"/>
        <v>7428.9635345209254</v>
      </c>
      <c r="N218" s="150"/>
      <c r="O218" s="150"/>
    </row>
    <row r="219" spans="2:16" s="7" customFormat="1" ht="15" customHeight="1" outlineLevel="1">
      <c r="B219" s="18" t="s">
        <v>50</v>
      </c>
      <c r="C219" s="8"/>
      <c r="D219" s="8"/>
      <c r="E219" s="8"/>
      <c r="F219" s="158">
        <f t="shared" si="34"/>
        <v>1792</v>
      </c>
      <c r="G219" s="158">
        <f t="shared" si="34"/>
        <v>1923</v>
      </c>
      <c r="H219" s="158">
        <f t="shared" si="34"/>
        <v>2009</v>
      </c>
      <c r="I219" s="158">
        <f t="shared" si="35"/>
        <v>1835.482435859589</v>
      </c>
      <c r="J219" s="158">
        <f t="shared" si="35"/>
        <v>1894.7335863124017</v>
      </c>
      <c r="K219" s="158">
        <f t="shared" si="35"/>
        <v>1955.9309943770929</v>
      </c>
      <c r="L219" s="158">
        <f t="shared" si="35"/>
        <v>2007.0837334075572</v>
      </c>
      <c r="M219" s="158">
        <f t="shared" si="35"/>
        <v>2059.5832066469357</v>
      </c>
      <c r="N219" s="150"/>
      <c r="O219" s="150"/>
    </row>
    <row r="220" spans="2:16" s="7" customFormat="1" ht="15" customHeight="1" outlineLevel="1">
      <c r="B220" s="18" t="s">
        <v>49</v>
      </c>
      <c r="C220" s="8"/>
      <c r="D220" s="8"/>
      <c r="E220" s="8"/>
      <c r="F220" s="158">
        <f>F95</f>
        <v>3024</v>
      </c>
      <c r="G220" s="158">
        <f>G95</f>
        <v>3205</v>
      </c>
      <c r="H220" s="158">
        <f>H95</f>
        <v>3319</v>
      </c>
      <c r="I220" s="158">
        <f>(I214/I$206)*I208</f>
        <v>2936.7718973753422</v>
      </c>
      <c r="J220" s="158">
        <f>(J214/J$206)*J208</f>
        <v>3031.5737380998426</v>
      </c>
      <c r="K220" s="158">
        <f>(K214/K$206)*K208</f>
        <v>3129.4895910033488</v>
      </c>
      <c r="L220" s="158">
        <f>(L214/L$206)*L208</f>
        <v>3211.3339734520914</v>
      </c>
      <c r="M220" s="158">
        <f>(M214/M$206)*M208</f>
        <v>3295.3331306350969</v>
      </c>
      <c r="N220" s="150"/>
      <c r="O220" s="150"/>
    </row>
    <row r="221" spans="2:16" s="7" customFormat="1" ht="15" customHeight="1" outlineLevel="1">
      <c r="C221" s="21"/>
      <c r="D221" s="8"/>
      <c r="E221" s="8"/>
      <c r="F221" s="8"/>
      <c r="G221" s="8"/>
      <c r="H221" s="8"/>
      <c r="I221" s="280"/>
      <c r="J221" s="280"/>
      <c r="K221" s="280"/>
      <c r="L221" s="280"/>
      <c r="M221" s="280"/>
      <c r="N221" s="150"/>
      <c r="O221" s="150"/>
    </row>
    <row r="222" spans="2:16" s="7" customFormat="1" ht="15" customHeight="1" outlineLevel="1">
      <c r="B222" s="284"/>
      <c r="C222" s="283"/>
      <c r="D222" s="282"/>
      <c r="E222" s="282"/>
      <c r="F222" s="282"/>
      <c r="G222" s="282"/>
      <c r="H222" s="282"/>
      <c r="I222" s="281"/>
      <c r="J222" s="281"/>
      <c r="K222" s="281"/>
      <c r="L222" s="281"/>
      <c r="M222" s="281"/>
      <c r="N222" s="150"/>
      <c r="O222" s="150"/>
    </row>
    <row r="223" spans="2:16" s="7" customFormat="1" ht="15" customHeight="1" outlineLevel="1">
      <c r="C223" s="21"/>
      <c r="D223" s="8"/>
      <c r="E223" s="8"/>
      <c r="F223" s="8"/>
      <c r="G223" s="8"/>
      <c r="H223" s="8"/>
      <c r="I223" s="280"/>
      <c r="J223" s="280"/>
      <c r="K223" s="280"/>
      <c r="L223" s="280"/>
      <c r="M223" s="280"/>
      <c r="N223" s="150"/>
      <c r="O223" s="150"/>
    </row>
    <row r="224" spans="2:16" s="7" customFormat="1" ht="15" customHeight="1" outlineLevel="1">
      <c r="C224" s="21"/>
      <c r="D224" s="8"/>
      <c r="E224" s="8"/>
      <c r="F224" s="8"/>
      <c r="G224" s="8"/>
      <c r="H224" s="8"/>
      <c r="I224" s="280"/>
      <c r="J224" s="280"/>
      <c r="K224" s="280"/>
      <c r="L224" s="280"/>
      <c r="M224" s="280"/>
      <c r="N224" s="150"/>
      <c r="O224" s="150"/>
    </row>
    <row r="225" spans="1:18" s="7" customFormat="1" ht="15" customHeight="1" outlineLevel="1">
      <c r="B225" s="35" t="s">
        <v>134</v>
      </c>
      <c r="C225" s="21"/>
      <c r="D225" s="8"/>
      <c r="E225" s="8"/>
      <c r="F225" s="8"/>
      <c r="G225" s="8"/>
      <c r="H225" s="8"/>
      <c r="I225" s="280"/>
      <c r="J225" s="280"/>
      <c r="K225" s="280"/>
      <c r="L225" s="280"/>
      <c r="M225" s="280"/>
      <c r="N225" s="150"/>
      <c r="O225" s="150"/>
    </row>
    <row r="226" spans="1:18" s="7" customFormat="1" ht="15" customHeight="1" outlineLevel="1">
      <c r="B226" s="18" t="s">
        <v>51</v>
      </c>
      <c r="C226" s="8"/>
      <c r="D226" s="8"/>
      <c r="E226" s="8"/>
      <c r="F226" s="158"/>
      <c r="G226" s="158">
        <f t="shared" ref="G226:M227" si="36">F218-G218</f>
        <v>-625</v>
      </c>
      <c r="H226" s="158">
        <f t="shared" si="36"/>
        <v>-291</v>
      </c>
      <c r="I226" s="158">
        <f t="shared" si="36"/>
        <v>-339.42933000000085</v>
      </c>
      <c r="J226" s="158">
        <f t="shared" si="36"/>
        <v>-139.96492953299912</v>
      </c>
      <c r="K226" s="158">
        <f t="shared" si="36"/>
        <v>-142.77822461661526</v>
      </c>
      <c r="L226" s="158">
        <f t="shared" si="36"/>
        <v>-109.05489588645014</v>
      </c>
      <c r="M226" s="158">
        <f t="shared" si="36"/>
        <v>-73.736154484859981</v>
      </c>
      <c r="N226" s="150"/>
      <c r="O226" s="150"/>
    </row>
    <row r="227" spans="1:18" s="7" customFormat="1" ht="15" customHeight="1" outlineLevel="1">
      <c r="B227" s="18" t="s">
        <v>50</v>
      </c>
      <c r="C227" s="8"/>
      <c r="D227" s="8"/>
      <c r="E227" s="8"/>
      <c r="F227" s="158"/>
      <c r="G227" s="158">
        <f t="shared" si="36"/>
        <v>-131</v>
      </c>
      <c r="H227" s="158">
        <f t="shared" si="36"/>
        <v>-86</v>
      </c>
      <c r="I227" s="158">
        <f t="shared" si="36"/>
        <v>173.51756414041097</v>
      </c>
      <c r="J227" s="158">
        <f t="shared" si="36"/>
        <v>-59.251150452812681</v>
      </c>
      <c r="K227" s="158">
        <f t="shared" si="36"/>
        <v>-61.197408064691217</v>
      </c>
      <c r="L227" s="158">
        <f t="shared" si="36"/>
        <v>-51.152739030464318</v>
      </c>
      <c r="M227" s="158">
        <f t="shared" si="36"/>
        <v>-52.499473239378403</v>
      </c>
      <c r="N227" s="150"/>
      <c r="O227" s="150"/>
    </row>
    <row r="228" spans="1:18" s="7" customFormat="1" ht="15" customHeight="1" outlineLevel="1">
      <c r="B228" s="18" t="s">
        <v>49</v>
      </c>
      <c r="C228" s="8"/>
      <c r="D228" s="8"/>
      <c r="E228" s="8"/>
      <c r="F228" s="158"/>
      <c r="G228" s="158">
        <f t="shared" ref="G228:M228" si="37">G220-F220</f>
        <v>181</v>
      </c>
      <c r="H228" s="158">
        <f t="shared" si="37"/>
        <v>114</v>
      </c>
      <c r="I228" s="158">
        <f t="shared" si="37"/>
        <v>-382.22810262465782</v>
      </c>
      <c r="J228" s="158">
        <f t="shared" si="37"/>
        <v>94.80184072450038</v>
      </c>
      <c r="K228" s="158">
        <f t="shared" si="37"/>
        <v>97.91585290350622</v>
      </c>
      <c r="L228" s="158">
        <f t="shared" si="37"/>
        <v>81.844382448742635</v>
      </c>
      <c r="M228" s="158">
        <f t="shared" si="37"/>
        <v>83.999157183005536</v>
      </c>
      <c r="N228" s="150"/>
      <c r="O228" s="150"/>
    </row>
    <row r="229" spans="1:18" s="7" customFormat="1" ht="15" customHeight="1" outlineLevel="1" thickBot="1">
      <c r="B229" s="18" t="s">
        <v>133</v>
      </c>
      <c r="C229" s="21"/>
      <c r="D229" s="21"/>
      <c r="E229" s="21"/>
      <c r="F229" s="21"/>
      <c r="G229" s="180">
        <f t="shared" ref="G229:M229" si="38">SUM(G226:G228)</f>
        <v>-575</v>
      </c>
      <c r="H229" s="180">
        <f t="shared" si="38"/>
        <v>-263</v>
      </c>
      <c r="I229" s="180">
        <f t="shared" si="38"/>
        <v>-548.1398684842477</v>
      </c>
      <c r="J229" s="180">
        <f t="shared" si="38"/>
        <v>-104.41423926131142</v>
      </c>
      <c r="K229" s="180">
        <f t="shared" si="38"/>
        <v>-106.05977977780026</v>
      </c>
      <c r="L229" s="180">
        <f t="shared" si="38"/>
        <v>-78.363252468171822</v>
      </c>
      <c r="M229" s="180">
        <f t="shared" si="38"/>
        <v>-42.236470541232848</v>
      </c>
      <c r="N229" s="150"/>
      <c r="O229" s="150"/>
    </row>
    <row r="230" spans="1:18" s="7" customFormat="1" ht="15" customHeight="1" outlineLevel="1">
      <c r="C230" s="21"/>
      <c r="D230" s="8"/>
      <c r="E230" s="8"/>
      <c r="F230" s="8"/>
      <c r="G230" s="8"/>
      <c r="H230" s="8"/>
      <c r="I230" s="280"/>
      <c r="J230" s="280"/>
      <c r="K230" s="280"/>
      <c r="L230" s="280"/>
      <c r="M230" s="280"/>
      <c r="N230" s="150"/>
      <c r="O230" s="150"/>
    </row>
    <row r="231" spans="1:18" s="149" customFormat="1" ht="15" customHeight="1" outlineLevel="1">
      <c r="C231" s="40"/>
      <c r="D231" s="39"/>
      <c r="E231" s="39"/>
      <c r="F231" s="39"/>
      <c r="G231" s="39"/>
      <c r="H231" s="39"/>
      <c r="I231" s="159"/>
      <c r="J231" s="159"/>
      <c r="K231" s="159"/>
      <c r="M231" s="176"/>
      <c r="N231" s="3"/>
      <c r="O231" s="3"/>
      <c r="P231" s="121"/>
    </row>
    <row r="232" spans="1:18" s="7" customFormat="1" ht="15" customHeight="1" outlineLevel="1">
      <c r="B232" s="8"/>
      <c r="C232" s="8"/>
      <c r="D232" s="280"/>
      <c r="E232" s="280"/>
      <c r="F232" s="280"/>
      <c r="G232" s="280"/>
      <c r="H232" s="280"/>
      <c r="I232" s="280"/>
      <c r="J232" s="280"/>
      <c r="K232" s="280"/>
      <c r="L232" s="280"/>
      <c r="M232" s="8"/>
      <c r="N232" s="150"/>
      <c r="O232" s="150"/>
    </row>
    <row r="233" spans="1:18" s="7" customFormat="1" ht="15" customHeight="1" outlineLevel="1">
      <c r="B233" s="279"/>
      <c r="C233" s="279"/>
      <c r="D233" s="279"/>
      <c r="E233" s="279"/>
      <c r="F233" s="279"/>
      <c r="G233" s="279"/>
      <c r="H233" s="279"/>
      <c r="I233" s="279"/>
      <c r="J233" s="279"/>
      <c r="K233" s="279"/>
      <c r="L233" s="279"/>
      <c r="M233" s="279"/>
      <c r="N233" s="150"/>
      <c r="O233" s="150"/>
    </row>
    <row r="234" spans="1:18" s="7" customFormat="1" ht="15" customHeight="1">
      <c r="B234" s="211"/>
      <c r="C234" s="278"/>
      <c r="D234" s="277"/>
      <c r="E234" s="8"/>
      <c r="F234" s="181"/>
      <c r="G234" s="181"/>
      <c r="H234" s="181"/>
      <c r="I234" s="181"/>
      <c r="J234" s="181"/>
      <c r="K234" s="181"/>
      <c r="L234" s="181"/>
      <c r="M234" s="181"/>
      <c r="N234" s="3"/>
      <c r="O234" s="3"/>
    </row>
    <row r="235" spans="1:18" s="149" customFormat="1" ht="15" customHeight="1">
      <c r="A235" s="149" t="s">
        <v>0</v>
      </c>
      <c r="B235" s="276" t="s">
        <v>132</v>
      </c>
      <c r="C235" s="44"/>
      <c r="D235" s="169"/>
      <c r="E235" s="169"/>
      <c r="F235" s="42"/>
      <c r="G235" s="42"/>
      <c r="H235" s="42"/>
      <c r="I235" s="168"/>
      <c r="J235" s="167"/>
      <c r="K235" s="167"/>
      <c r="L235" s="167"/>
      <c r="M235" s="167"/>
      <c r="P235" s="3"/>
    </row>
    <row r="236" spans="1:18" s="149" customFormat="1" ht="15" customHeight="1" outlineLevel="1">
      <c r="B236" s="147"/>
      <c r="C236" s="40"/>
      <c r="D236" s="146"/>
      <c r="E236" s="146"/>
      <c r="F236" s="145"/>
      <c r="G236" s="145"/>
      <c r="H236" s="145"/>
      <c r="I236" s="145"/>
      <c r="J236" s="145"/>
      <c r="K236" s="145"/>
      <c r="L236" s="145"/>
      <c r="M236" s="145"/>
    </row>
    <row r="237" spans="1:18" s="149" customFormat="1" ht="15" customHeight="1" outlineLevel="1" thickBot="1">
      <c r="B237" s="41" t="s">
        <v>15</v>
      </c>
      <c r="C237" s="40"/>
      <c r="D237" s="39"/>
      <c r="E237" s="39"/>
      <c r="F237" s="39"/>
      <c r="G237" s="39"/>
      <c r="H237" s="165">
        <f t="shared" ref="H237:M237" si="39">H$5</f>
        <v>2022</v>
      </c>
      <c r="I237" s="105">
        <f t="shared" si="39"/>
        <v>2023</v>
      </c>
      <c r="J237" s="105">
        <f t="shared" si="39"/>
        <v>2024</v>
      </c>
      <c r="K237" s="105">
        <f t="shared" si="39"/>
        <v>2025</v>
      </c>
      <c r="L237" s="105">
        <f t="shared" si="39"/>
        <v>2026</v>
      </c>
      <c r="M237" s="105">
        <f t="shared" si="39"/>
        <v>2027</v>
      </c>
    </row>
    <row r="238" spans="1:18" ht="15" customHeight="1" outlineLevel="1">
      <c r="A238" s="7"/>
      <c r="B238" s="41" t="str">
        <f>B$6</f>
        <v>Model Running: Base Case Drivers</v>
      </c>
      <c r="C238" s="40"/>
      <c r="D238" s="39"/>
      <c r="E238" s="39"/>
      <c r="F238" s="39"/>
      <c r="G238" s="39"/>
      <c r="H238" s="39"/>
      <c r="I238" s="159"/>
      <c r="J238" s="159"/>
      <c r="K238" s="159"/>
      <c r="L238" s="159"/>
      <c r="M238" s="159"/>
      <c r="P238" s="3"/>
    </row>
    <row r="239" spans="1:18" s="149" customFormat="1" ht="15" customHeight="1" outlineLevel="1" thickBot="1">
      <c r="B239" s="41"/>
      <c r="C239" s="40"/>
      <c r="D239" s="39"/>
      <c r="E239" s="39"/>
      <c r="F239" s="39"/>
      <c r="G239" s="39"/>
      <c r="H239" s="275"/>
      <c r="I239" s="275"/>
      <c r="J239" s="275"/>
      <c r="K239" s="275"/>
      <c r="L239" s="275"/>
      <c r="M239" s="275"/>
      <c r="P239" s="382" t="s">
        <v>19</v>
      </c>
      <c r="Q239" s="381" t="s">
        <v>18</v>
      </c>
      <c r="R239" s="380" t="s">
        <v>17</v>
      </c>
    </row>
    <row r="240" spans="1:18" s="149" customFormat="1" ht="15" customHeight="1" outlineLevel="1">
      <c r="B240" s="274" t="s">
        <v>131</v>
      </c>
      <c r="C240" s="40"/>
      <c r="D240" s="39"/>
      <c r="E240" s="39"/>
      <c r="F240" s="269"/>
      <c r="G240" s="269"/>
      <c r="H240" s="269"/>
      <c r="I240" s="273">
        <f>Inputs!H22</f>
        <v>25475</v>
      </c>
      <c r="J240" s="272">
        <f>Inputs!I22</f>
        <v>7050</v>
      </c>
      <c r="K240" s="272">
        <f>Inputs!J22</f>
        <v>7275</v>
      </c>
      <c r="L240" s="272">
        <f>Inputs!K22</f>
        <v>7200</v>
      </c>
      <c r="M240" s="271">
        <f>Inputs!L22</f>
        <v>7687.5</v>
      </c>
      <c r="P240" s="379">
        <f>SUM(Model!I239:M239)</f>
        <v>54687.5</v>
      </c>
      <c r="Q240" s="378">
        <f>SUM(I240:M240)</f>
        <v>54687.5</v>
      </c>
      <c r="R240" s="377" cm="1">
        <f t="array" ref="R240">IF(SUM(ISBLANK(Model!I239:M239)*1)&gt;0,0,IF(P240=Q240,1,0))</f>
        <v>1</v>
      </c>
    </row>
    <row r="241" spans="2:16" s="149" customFormat="1" ht="15" customHeight="1" outlineLevel="1">
      <c r="B241" s="270"/>
      <c r="C241" s="40"/>
      <c r="D241" s="39"/>
      <c r="E241" s="39"/>
      <c r="F241" s="269"/>
      <c r="G241" s="269"/>
      <c r="H241" s="269"/>
      <c r="I241" s="158"/>
      <c r="J241" s="158"/>
      <c r="K241" s="158"/>
      <c r="L241" s="158"/>
      <c r="M241" s="158"/>
      <c r="P241" s="3"/>
    </row>
    <row r="242" spans="2:16" s="149" customFormat="1" ht="15" customHeight="1" outlineLevel="1">
      <c r="B242" s="41"/>
      <c r="C242" s="40"/>
      <c r="D242" s="39"/>
      <c r="E242" s="39"/>
      <c r="F242" s="39"/>
      <c r="G242" s="39"/>
      <c r="H242" s="39"/>
      <c r="I242" s="159"/>
      <c r="J242" s="159"/>
      <c r="K242" s="159"/>
      <c r="L242" s="159"/>
      <c r="M242" s="159"/>
      <c r="P242" s="3"/>
    </row>
    <row r="243" spans="2:16" s="149" customFormat="1" ht="15" customHeight="1" outlineLevel="1">
      <c r="B243" s="188" t="s">
        <v>130</v>
      </c>
      <c r="D243" s="255"/>
      <c r="E243" s="39"/>
      <c r="F243" s="39"/>
      <c r="G243" s="39"/>
      <c r="H243" s="39"/>
      <c r="I243" s="238" t="s">
        <v>128</v>
      </c>
      <c r="J243" s="237"/>
      <c r="K243" s="237"/>
      <c r="L243" s="237"/>
      <c r="M243" s="236"/>
      <c r="P243" s="3"/>
    </row>
    <row r="244" spans="2:16" s="149" customFormat="1" ht="15" customHeight="1" outlineLevel="1">
      <c r="B244" s="268" t="s">
        <v>125</v>
      </c>
      <c r="C244" s="267" t="s">
        <v>20</v>
      </c>
      <c r="D244" s="266">
        <f>Inputs!$L$61</f>
        <v>16</v>
      </c>
      <c r="E244" s="39"/>
      <c r="F244" s="262"/>
      <c r="G244" s="39"/>
      <c r="H244" s="39"/>
      <c r="I244" s="265">
        <v>1</v>
      </c>
      <c r="J244" s="265">
        <f>I244+1</f>
        <v>2</v>
      </c>
      <c r="K244" s="265">
        <f>J244+1</f>
        <v>3</v>
      </c>
      <c r="L244" s="265">
        <f>K244+1</f>
        <v>4</v>
      </c>
      <c r="M244" s="265">
        <f>L244+1</f>
        <v>5</v>
      </c>
      <c r="P244" s="3"/>
    </row>
    <row r="245" spans="2:16" s="149" customFormat="1" ht="15" customHeight="1" outlineLevel="1">
      <c r="B245" s="248" t="s">
        <v>129</v>
      </c>
      <c r="C245" s="264" t="str">
        <f>CONCATENATE("(End of ",H237,")")</f>
        <v>(End of 2022)</v>
      </c>
      <c r="D245" s="263">
        <f>H87</f>
        <v>75407</v>
      </c>
      <c r="E245" s="39"/>
      <c r="F245" s="262"/>
      <c r="G245" s="39"/>
      <c r="H245" s="261"/>
      <c r="I245" s="260">
        <f>MIN($D244-SUM($H245:H245),1)</f>
        <v>1</v>
      </c>
      <c r="J245" s="260">
        <f>MIN($D244-SUM($H245:I245),1)</f>
        <v>1</v>
      </c>
      <c r="K245" s="260">
        <f>MIN($D244-SUM($H245:J245),1)</f>
        <v>1</v>
      </c>
      <c r="L245" s="260">
        <f>MIN($D244-SUM($H245:K245),1)</f>
        <v>1</v>
      </c>
      <c r="M245" s="259">
        <f>MIN($D244-SUM($H245:L245),1)</f>
        <v>1</v>
      </c>
      <c r="N245" s="217"/>
      <c r="O245" s="217"/>
      <c r="P245" s="217"/>
    </row>
    <row r="246" spans="2:16" s="149" customFormat="1" ht="15" customHeight="1" outlineLevel="1">
      <c r="B246" s="11"/>
      <c r="D246" s="258"/>
      <c r="E246" s="39"/>
      <c r="F246" s="39"/>
      <c r="G246" s="39"/>
      <c r="H246" s="39"/>
      <c r="I246" s="244"/>
      <c r="J246" s="244"/>
      <c r="K246" s="244"/>
      <c r="L246" s="244"/>
      <c r="M246" s="244"/>
      <c r="P246" s="150"/>
    </row>
    <row r="247" spans="2:16" s="149" customFormat="1" ht="15" customHeight="1" outlineLevel="1">
      <c r="B247" s="11"/>
      <c r="E247" s="39"/>
      <c r="F247" s="39"/>
      <c r="G247" s="39"/>
      <c r="H247" s="39"/>
      <c r="I247" s="244"/>
      <c r="J247" s="244"/>
      <c r="K247" s="244"/>
      <c r="L247" s="244"/>
      <c r="M247" s="244"/>
      <c r="P247" s="257"/>
    </row>
    <row r="248" spans="2:16" s="149" customFormat="1" ht="15" customHeight="1" outlineLevel="1">
      <c r="B248" s="41"/>
      <c r="D248" s="40"/>
      <c r="E248" s="39"/>
      <c r="F248" s="39"/>
      <c r="G248" s="39"/>
      <c r="H248" s="39"/>
      <c r="I248" s="238" t="s">
        <v>128</v>
      </c>
      <c r="J248" s="237"/>
      <c r="K248" s="237"/>
      <c r="L248" s="237"/>
      <c r="M248" s="236"/>
      <c r="N248" s="256"/>
      <c r="O248" s="256"/>
    </row>
    <row r="249" spans="2:16" s="149" customFormat="1" ht="15" customHeight="1" outlineLevel="1">
      <c r="B249" s="188" t="s">
        <v>127</v>
      </c>
      <c r="D249" s="255"/>
      <c r="F249" s="160" t="s">
        <v>122</v>
      </c>
      <c r="G249" s="160" t="s">
        <v>126</v>
      </c>
      <c r="H249" s="39"/>
      <c r="I249" s="235">
        <f>I$237</f>
        <v>2023</v>
      </c>
      <c r="J249" s="235">
        <f>J$237</f>
        <v>2024</v>
      </c>
      <c r="K249" s="235">
        <f>K$237</f>
        <v>2025</v>
      </c>
      <c r="L249" s="235">
        <f>L$237</f>
        <v>2026</v>
      </c>
      <c r="M249" s="235">
        <f>M$237</f>
        <v>2027</v>
      </c>
    </row>
    <row r="250" spans="2:16" s="149" customFormat="1" ht="15" customHeight="1" outlineLevel="1">
      <c r="B250" s="195" t="s">
        <v>125</v>
      </c>
      <c r="C250" s="254" t="s">
        <v>20</v>
      </c>
      <c r="D250" s="253">
        <f>Inputs!$L$62</f>
        <v>20</v>
      </c>
      <c r="F250" s="234">
        <f>I237</f>
        <v>2023</v>
      </c>
      <c r="G250" s="252">
        <f>$D$250</f>
        <v>20</v>
      </c>
      <c r="H250" s="251"/>
      <c r="I250" s="250">
        <f>IF(H250="",$D$251,MIN($D250-SUM($H250:H250),1))</f>
        <v>0.5</v>
      </c>
      <c r="J250" s="250">
        <f>IF(I250="",$D$251,MIN($D250-SUM($H250:I250),1))</f>
        <v>1</v>
      </c>
      <c r="K250" s="250">
        <f>IF(J250="",$D$251,MIN($D250-SUM($H250:J250),1))</f>
        <v>1</v>
      </c>
      <c r="L250" s="250">
        <f>IF(K250="",$D$251,MIN($D250-SUM($H250:K250),1))</f>
        <v>1</v>
      </c>
      <c r="M250" s="249">
        <f>IF(L250="",$D$251,MIN($D250-SUM($H250:L250),1))</f>
        <v>1</v>
      </c>
    </row>
    <row r="251" spans="2:16" s="149" customFormat="1" ht="15" customHeight="1" outlineLevel="1">
      <c r="B251" s="248" t="s">
        <v>124</v>
      </c>
      <c r="C251" s="247"/>
      <c r="D251" s="239">
        <f>Inputs!$L$60</f>
        <v>0.5</v>
      </c>
      <c r="F251" s="229">
        <f>F250+1</f>
        <v>2024</v>
      </c>
      <c r="G251" s="246">
        <f>$D$250</f>
        <v>20</v>
      </c>
      <c r="H251" s="245"/>
      <c r="I251" s="244">
        <f t="shared" ref="I251:M254" si="40">H250</f>
        <v>0</v>
      </c>
      <c r="J251" s="244">
        <f t="shared" si="40"/>
        <v>0.5</v>
      </c>
      <c r="K251" s="244">
        <f t="shared" si="40"/>
        <v>1</v>
      </c>
      <c r="L251" s="244">
        <f t="shared" si="40"/>
        <v>1</v>
      </c>
      <c r="M251" s="243">
        <f t="shared" si="40"/>
        <v>1</v>
      </c>
      <c r="P251" s="148"/>
    </row>
    <row r="252" spans="2:16" s="149" customFormat="1" ht="15" customHeight="1" outlineLevel="1">
      <c r="B252" s="41"/>
      <c r="D252" s="160"/>
      <c r="F252" s="229">
        <f>F251+1</f>
        <v>2025</v>
      </c>
      <c r="G252" s="246">
        <f>$D$250</f>
        <v>20</v>
      </c>
      <c r="H252" s="245"/>
      <c r="I252" s="244">
        <f t="shared" si="40"/>
        <v>0</v>
      </c>
      <c r="J252" s="244">
        <f t="shared" si="40"/>
        <v>0</v>
      </c>
      <c r="K252" s="244">
        <f t="shared" si="40"/>
        <v>0.5</v>
      </c>
      <c r="L252" s="244">
        <f t="shared" si="40"/>
        <v>1</v>
      </c>
      <c r="M252" s="243">
        <f t="shared" si="40"/>
        <v>1</v>
      </c>
    </row>
    <row r="253" spans="2:16" s="149" customFormat="1" ht="15" customHeight="1" outlineLevel="1">
      <c r="B253" s="41"/>
      <c r="D253" s="160"/>
      <c r="F253" s="229">
        <f>F252+1</f>
        <v>2026</v>
      </c>
      <c r="G253" s="246">
        <f>$D$250</f>
        <v>20</v>
      </c>
      <c r="H253" s="245"/>
      <c r="I253" s="244">
        <f t="shared" si="40"/>
        <v>0</v>
      </c>
      <c r="J253" s="244">
        <f t="shared" si="40"/>
        <v>0</v>
      </c>
      <c r="K253" s="244">
        <f t="shared" si="40"/>
        <v>0</v>
      </c>
      <c r="L253" s="244">
        <f t="shared" si="40"/>
        <v>0.5</v>
      </c>
      <c r="M253" s="243">
        <f t="shared" si="40"/>
        <v>1</v>
      </c>
    </row>
    <row r="254" spans="2:16" s="149" customFormat="1" ht="15" customHeight="1" outlineLevel="1">
      <c r="B254" s="41"/>
      <c r="D254" s="160"/>
      <c r="F254" s="226">
        <f>F253+1</f>
        <v>2027</v>
      </c>
      <c r="G254" s="242">
        <f>$D$250</f>
        <v>20</v>
      </c>
      <c r="H254" s="241"/>
      <c r="I254" s="240">
        <f t="shared" si="40"/>
        <v>0</v>
      </c>
      <c r="J254" s="240">
        <f t="shared" si="40"/>
        <v>0</v>
      </c>
      <c r="K254" s="240">
        <f t="shared" si="40"/>
        <v>0</v>
      </c>
      <c r="L254" s="240">
        <f t="shared" si="40"/>
        <v>0</v>
      </c>
      <c r="M254" s="239">
        <f t="shared" si="40"/>
        <v>0.5</v>
      </c>
    </row>
    <row r="255" spans="2:16" s="149" customFormat="1" ht="15" customHeight="1" outlineLevel="1">
      <c r="B255" s="41"/>
      <c r="C255" s="40"/>
      <c r="D255" s="160"/>
      <c r="E255" s="39"/>
      <c r="F255" s="39"/>
      <c r="G255" s="39"/>
      <c r="H255" s="39"/>
      <c r="I255" s="159"/>
      <c r="J255" s="159"/>
      <c r="K255" s="159"/>
      <c r="L255" s="159"/>
      <c r="M255" s="159"/>
      <c r="N255" s="150"/>
      <c r="O255" s="150"/>
    </row>
    <row r="256" spans="2:16" s="149" customFormat="1" ht="15" customHeight="1" outlineLevel="1">
      <c r="B256" s="41"/>
      <c r="C256" s="40"/>
      <c r="D256" s="160"/>
      <c r="E256" s="39"/>
      <c r="F256" s="39"/>
      <c r="G256" s="39"/>
      <c r="H256" s="39"/>
      <c r="I256" s="159"/>
      <c r="J256" s="159"/>
      <c r="K256" s="159"/>
      <c r="L256" s="159"/>
      <c r="M256" s="159"/>
      <c r="N256" s="150"/>
      <c r="O256" s="150"/>
    </row>
    <row r="257" spans="2:16" s="149" customFormat="1" ht="15" customHeight="1" outlineLevel="1">
      <c r="B257" s="41"/>
      <c r="C257" s="40"/>
      <c r="D257" s="39"/>
      <c r="E257" s="39"/>
      <c r="F257" s="39"/>
      <c r="G257" s="39"/>
      <c r="H257" s="39"/>
      <c r="I257" s="238" t="s">
        <v>123</v>
      </c>
      <c r="J257" s="237"/>
      <c r="K257" s="237"/>
      <c r="L257" s="237"/>
      <c r="M257" s="236"/>
      <c r="N257" s="150"/>
      <c r="O257" s="150"/>
    </row>
    <row r="258" spans="2:16" s="149" customFormat="1" ht="15" customHeight="1" outlineLevel="1">
      <c r="E258" s="39"/>
      <c r="F258" s="160" t="s">
        <v>122</v>
      </c>
      <c r="G258" s="160" t="s">
        <v>121</v>
      </c>
      <c r="H258" s="160" t="s">
        <v>120</v>
      </c>
      <c r="I258" s="235">
        <f>I$237</f>
        <v>2023</v>
      </c>
      <c r="J258" s="235">
        <f>J$237</f>
        <v>2024</v>
      </c>
      <c r="K258" s="235">
        <f>K$237</f>
        <v>2025</v>
      </c>
      <c r="L258" s="235">
        <f>L$237</f>
        <v>2026</v>
      </c>
      <c r="M258" s="235">
        <f>M$237</f>
        <v>2027</v>
      </c>
      <c r="N258" s="150"/>
      <c r="O258" s="150"/>
    </row>
    <row r="259" spans="2:16" s="149" customFormat="1" ht="15" customHeight="1" outlineLevel="1">
      <c r="B259" s="41"/>
      <c r="E259" s="39"/>
      <c r="F259" s="234">
        <f>F250</f>
        <v>2023</v>
      </c>
      <c r="G259" s="233">
        <f>SUMIF($I$237:$M$237,F259,$I$240:$M$240)</f>
        <v>25475</v>
      </c>
      <c r="H259" s="232">
        <f>G259/G250</f>
        <v>1273.75</v>
      </c>
      <c r="I259" s="231">
        <f t="shared" ref="I259:M263" si="41">$H259*I250</f>
        <v>636.875</v>
      </c>
      <c r="J259" s="231">
        <f t="shared" si="41"/>
        <v>1273.75</v>
      </c>
      <c r="K259" s="231">
        <f t="shared" si="41"/>
        <v>1273.75</v>
      </c>
      <c r="L259" s="231">
        <f t="shared" si="41"/>
        <v>1273.75</v>
      </c>
      <c r="M259" s="230">
        <f t="shared" si="41"/>
        <v>1273.75</v>
      </c>
    </row>
    <row r="260" spans="2:16" s="149" customFormat="1" ht="15" customHeight="1" outlineLevel="1">
      <c r="B260" s="41"/>
      <c r="E260" s="39"/>
      <c r="F260" s="229">
        <f>F251</f>
        <v>2024</v>
      </c>
      <c r="G260" s="221">
        <f>SUMIF($I$237:$M$237,F260,$I$240:$M$240)</f>
        <v>7050</v>
      </c>
      <c r="H260" s="228">
        <f>G260/G251</f>
        <v>352.5</v>
      </c>
      <c r="I260" s="20">
        <f t="shared" si="41"/>
        <v>0</v>
      </c>
      <c r="J260" s="20">
        <f t="shared" si="41"/>
        <v>176.25</v>
      </c>
      <c r="K260" s="20">
        <f t="shared" si="41"/>
        <v>352.5</v>
      </c>
      <c r="L260" s="20">
        <f t="shared" si="41"/>
        <v>352.5</v>
      </c>
      <c r="M260" s="227">
        <f t="shared" si="41"/>
        <v>352.5</v>
      </c>
    </row>
    <row r="261" spans="2:16" s="149" customFormat="1" ht="15" customHeight="1" outlineLevel="1">
      <c r="B261" s="41"/>
      <c r="E261" s="39"/>
      <c r="F261" s="229">
        <f>F252</f>
        <v>2025</v>
      </c>
      <c r="G261" s="221">
        <f>SUMIF($I$237:$M$237,F261,$I$240:$M$240)</f>
        <v>7275</v>
      </c>
      <c r="H261" s="228">
        <f>G261/G252</f>
        <v>363.75</v>
      </c>
      <c r="I261" s="20">
        <f t="shared" si="41"/>
        <v>0</v>
      </c>
      <c r="J261" s="20">
        <f t="shared" si="41"/>
        <v>0</v>
      </c>
      <c r="K261" s="20">
        <f t="shared" si="41"/>
        <v>181.875</v>
      </c>
      <c r="L261" s="20">
        <f t="shared" si="41"/>
        <v>363.75</v>
      </c>
      <c r="M261" s="227">
        <f t="shared" si="41"/>
        <v>363.75</v>
      </c>
      <c r="P261" s="150"/>
    </row>
    <row r="262" spans="2:16" s="149" customFormat="1" ht="15" customHeight="1" outlineLevel="1">
      <c r="B262" s="41"/>
      <c r="E262" s="39"/>
      <c r="F262" s="229">
        <f>F253</f>
        <v>2026</v>
      </c>
      <c r="G262" s="221">
        <f>SUMIF($I$237:$M$237,F262,$I$240:$M$240)</f>
        <v>7200</v>
      </c>
      <c r="H262" s="228">
        <f>G262/G253</f>
        <v>360</v>
      </c>
      <c r="I262" s="20">
        <f t="shared" si="41"/>
        <v>0</v>
      </c>
      <c r="J262" s="20">
        <f t="shared" si="41"/>
        <v>0</v>
      </c>
      <c r="K262" s="20">
        <f t="shared" si="41"/>
        <v>0</v>
      </c>
      <c r="L262" s="20">
        <f t="shared" si="41"/>
        <v>180</v>
      </c>
      <c r="M262" s="227">
        <f t="shared" si="41"/>
        <v>360</v>
      </c>
      <c r="P262" s="150"/>
    </row>
    <row r="263" spans="2:16" s="149" customFormat="1" ht="15" customHeight="1" outlineLevel="1">
      <c r="B263" s="41"/>
      <c r="E263" s="39"/>
      <c r="F263" s="226">
        <f>F254</f>
        <v>2027</v>
      </c>
      <c r="G263" s="225">
        <f>SUMIF($I$237:$M$237,F263,$I$240:$M$240)</f>
        <v>7687.5</v>
      </c>
      <c r="H263" s="224">
        <f>G263/G254</f>
        <v>384.375</v>
      </c>
      <c r="I263" s="19">
        <f t="shared" si="41"/>
        <v>0</v>
      </c>
      <c r="J263" s="19">
        <f t="shared" si="41"/>
        <v>0</v>
      </c>
      <c r="K263" s="19">
        <f t="shared" si="41"/>
        <v>0</v>
      </c>
      <c r="L263" s="19">
        <f t="shared" si="41"/>
        <v>0</v>
      </c>
      <c r="M263" s="223">
        <f t="shared" si="41"/>
        <v>192.1875</v>
      </c>
      <c r="P263" s="150"/>
    </row>
    <row r="264" spans="2:16" s="149" customFormat="1" ht="15" customHeight="1" outlineLevel="1">
      <c r="B264" s="41"/>
      <c r="E264" s="39"/>
      <c r="F264" s="222"/>
      <c r="G264" s="221"/>
      <c r="H264" s="221"/>
      <c r="I264" s="20"/>
      <c r="J264" s="20"/>
      <c r="K264" s="20"/>
      <c r="L264" s="20"/>
      <c r="M264" s="20"/>
      <c r="P264" s="150"/>
    </row>
    <row r="265" spans="2:16" s="149" customFormat="1" ht="15" customHeight="1" outlineLevel="1">
      <c r="B265" s="154"/>
      <c r="C265" s="153"/>
      <c r="D265" s="152"/>
      <c r="E265" s="152"/>
      <c r="F265" s="152"/>
      <c r="G265" s="152"/>
      <c r="H265" s="152"/>
      <c r="I265" s="151"/>
      <c r="J265" s="151"/>
      <c r="K265" s="151"/>
      <c r="L265" s="151"/>
      <c r="M265" s="151"/>
      <c r="N265" s="150"/>
      <c r="O265" s="150"/>
    </row>
    <row r="266" spans="2:16" s="149" customFormat="1" ht="15" customHeight="1" outlineLevel="1">
      <c r="B266" s="41"/>
      <c r="C266" s="40"/>
      <c r="D266" s="39"/>
      <c r="E266" s="39"/>
      <c r="F266" s="39"/>
      <c r="G266" s="39"/>
      <c r="H266" s="39"/>
      <c r="I266" s="159"/>
      <c r="J266" s="159"/>
      <c r="K266" s="159"/>
      <c r="L266" s="159"/>
      <c r="M266" s="159"/>
      <c r="N266" s="150"/>
      <c r="O266" s="150"/>
    </row>
    <row r="267" spans="2:16" s="149" customFormat="1" ht="15" customHeight="1" outlineLevel="1">
      <c r="B267" s="41"/>
      <c r="C267" s="40"/>
      <c r="D267" s="39"/>
      <c r="E267" s="39"/>
      <c r="F267" s="39"/>
      <c r="G267" s="39"/>
      <c r="H267" s="39"/>
      <c r="I267" s="159"/>
      <c r="J267" s="159"/>
      <c r="K267" s="159"/>
      <c r="L267" s="159"/>
      <c r="M267" s="159"/>
      <c r="N267" s="150"/>
      <c r="O267" s="150"/>
    </row>
    <row r="268" spans="2:16" s="149" customFormat="1" ht="15" customHeight="1" outlineLevel="1">
      <c r="B268" s="188" t="s">
        <v>119</v>
      </c>
      <c r="C268" s="40"/>
      <c r="D268" s="39"/>
      <c r="E268" s="39"/>
      <c r="F268" s="39"/>
      <c r="G268" s="39"/>
      <c r="H268" s="39"/>
      <c r="I268" s="159"/>
      <c r="J268" s="159"/>
      <c r="K268" s="159"/>
      <c r="L268" s="159"/>
      <c r="M268" s="159"/>
      <c r="N268" s="150"/>
      <c r="O268" s="150"/>
      <c r="P268" s="217"/>
    </row>
    <row r="269" spans="2:16" s="149" customFormat="1" ht="15" customHeight="1" outlineLevel="1">
      <c r="B269" s="18" t="s">
        <v>118</v>
      </c>
      <c r="C269" s="40"/>
      <c r="D269" s="39"/>
      <c r="E269" s="39"/>
      <c r="F269" s="181"/>
      <c r="G269" s="181"/>
      <c r="H269" s="181"/>
      <c r="I269" s="158">
        <f>($D$245/$D$244)*I245</f>
        <v>4712.9375</v>
      </c>
      <c r="J269" s="158">
        <f>($D$245/$D$244)*J245</f>
        <v>4712.9375</v>
      </c>
      <c r="K269" s="158">
        <f>($D$245/$D$244)*K245</f>
        <v>4712.9375</v>
      </c>
      <c r="L269" s="158">
        <f>($D$245/$D$244)*L245</f>
        <v>4712.9375</v>
      </c>
      <c r="M269" s="158">
        <f>($D$245/$D$244)*M245</f>
        <v>4712.9375</v>
      </c>
      <c r="N269" s="3"/>
      <c r="O269" s="3"/>
    </row>
    <row r="270" spans="2:16" s="149" customFormat="1" ht="15" customHeight="1" outlineLevel="1">
      <c r="B270" s="18" t="s">
        <v>117</v>
      </c>
      <c r="C270" s="40"/>
      <c r="D270" s="39"/>
      <c r="E270" s="39"/>
      <c r="F270" s="39"/>
      <c r="G270" s="39"/>
      <c r="H270" s="39"/>
      <c r="I270" s="158">
        <f>SUM(I259:I263)</f>
        <v>636.875</v>
      </c>
      <c r="J270" s="158">
        <f>SUM(J259:J263)</f>
        <v>1450</v>
      </c>
      <c r="K270" s="158">
        <f>SUM(K259:K263)</f>
        <v>1808.125</v>
      </c>
      <c r="L270" s="158">
        <f>SUM(L259:L263)</f>
        <v>2170</v>
      </c>
      <c r="M270" s="158">
        <f>SUM(M259:M263)</f>
        <v>2542.1875</v>
      </c>
      <c r="N270" s="3"/>
      <c r="O270" s="3"/>
    </row>
    <row r="271" spans="2:16" s="149" customFormat="1" ht="15" customHeight="1" outlineLevel="1" thickBot="1">
      <c r="B271" s="18" t="s">
        <v>116</v>
      </c>
      <c r="C271" s="40"/>
      <c r="D271" s="39"/>
      <c r="E271" s="39"/>
      <c r="F271" s="39"/>
      <c r="G271" s="39"/>
      <c r="H271" s="39"/>
      <c r="I271" s="180">
        <f>SUM(I269:I270)</f>
        <v>5349.8125</v>
      </c>
      <c r="J271" s="180">
        <f>SUM(J269:J270)</f>
        <v>6162.9375</v>
      </c>
      <c r="K271" s="180">
        <f>SUM(K269:K270)</f>
        <v>6521.0625</v>
      </c>
      <c r="L271" s="180">
        <f>SUM(L269:L270)</f>
        <v>6882.9375</v>
      </c>
      <c r="M271" s="180">
        <f>SUM(M269:M270)</f>
        <v>7255.125</v>
      </c>
      <c r="N271" s="150"/>
      <c r="O271" s="150"/>
    </row>
    <row r="272" spans="2:16" s="149" customFormat="1" ht="15" customHeight="1" outlineLevel="1">
      <c r="B272" s="41"/>
      <c r="C272" s="40"/>
      <c r="D272" s="39"/>
      <c r="E272" s="39"/>
      <c r="F272" s="39"/>
      <c r="G272" s="39"/>
      <c r="H272" s="39"/>
      <c r="I272" s="181"/>
      <c r="J272" s="181"/>
      <c r="K272" s="181"/>
      <c r="L272" s="181"/>
      <c r="M272" s="181"/>
      <c r="N272" s="150"/>
      <c r="O272" s="150"/>
    </row>
    <row r="273" spans="1:16" s="149" customFormat="1" ht="15" customHeight="1" outlineLevel="1">
      <c r="B273" s="41"/>
      <c r="C273" s="40"/>
      <c r="D273" s="39"/>
      <c r="E273" s="39"/>
      <c r="F273" s="39"/>
      <c r="G273" s="39"/>
      <c r="H273" s="39"/>
      <c r="I273" s="181"/>
      <c r="J273" s="181"/>
      <c r="K273" s="181"/>
      <c r="L273" s="181"/>
      <c r="M273" s="181"/>
      <c r="N273" s="150"/>
      <c r="O273" s="150"/>
    </row>
    <row r="274" spans="1:16" s="149" customFormat="1" ht="15" customHeight="1" outlineLevel="1">
      <c r="C274" s="40"/>
      <c r="D274" s="39"/>
      <c r="E274" s="39"/>
      <c r="F274" s="39"/>
      <c r="G274" s="39"/>
      <c r="H274" s="39"/>
      <c r="I274" s="159"/>
      <c r="J274" s="159"/>
      <c r="K274" s="159"/>
      <c r="L274" s="159"/>
      <c r="M274" s="176" t="s">
        <v>115</v>
      </c>
      <c r="N274" s="3"/>
      <c r="O274" s="3"/>
      <c r="P274" s="121"/>
    </row>
    <row r="275" spans="1:16" s="149" customFormat="1" ht="15" customHeight="1" outlineLevel="1">
      <c r="C275" s="40"/>
      <c r="D275" s="39"/>
      <c r="E275" s="39"/>
      <c r="F275" s="39"/>
      <c r="G275" s="39"/>
      <c r="H275" s="39"/>
      <c r="I275" s="159"/>
      <c r="J275" s="159"/>
      <c r="K275" s="159"/>
      <c r="L275" s="159"/>
      <c r="M275" s="175" t="s">
        <v>114</v>
      </c>
      <c r="N275" s="3"/>
      <c r="O275" s="3"/>
      <c r="P275" s="121"/>
    </row>
    <row r="276" spans="1:16" s="149" customFormat="1" ht="15" customHeight="1" outlineLevel="1">
      <c r="C276" s="40"/>
      <c r="D276" s="39"/>
      <c r="E276" s="39"/>
      <c r="F276" s="39"/>
      <c r="G276" s="39"/>
      <c r="H276" s="39"/>
      <c r="I276" s="159"/>
      <c r="J276" s="159"/>
      <c r="K276" s="159"/>
      <c r="L276" s="159"/>
      <c r="M276" s="202"/>
      <c r="N276" s="3"/>
      <c r="O276" s="3"/>
      <c r="P276" s="121"/>
    </row>
    <row r="277" spans="1:16" s="149" customFormat="1" ht="15" customHeight="1" outlineLevel="1">
      <c r="B277" s="154"/>
      <c r="C277" s="153"/>
      <c r="D277" s="152"/>
      <c r="E277" s="152"/>
      <c r="F277" s="152"/>
      <c r="G277" s="152"/>
      <c r="H277" s="152"/>
      <c r="I277" s="151"/>
      <c r="J277" s="151"/>
      <c r="K277" s="151"/>
      <c r="L277" s="151"/>
      <c r="M277" s="151"/>
      <c r="N277" s="150"/>
      <c r="O277" s="150"/>
    </row>
    <row r="278" spans="1:16" s="149" customFormat="1" ht="15" customHeight="1">
      <c r="B278" s="41"/>
      <c r="C278" s="40"/>
      <c r="D278" s="39"/>
      <c r="E278" s="39"/>
      <c r="F278" s="39"/>
      <c r="G278" s="39"/>
      <c r="H278" s="39"/>
      <c r="I278" s="159"/>
      <c r="J278" s="159"/>
      <c r="K278" s="159"/>
      <c r="L278" s="159"/>
      <c r="M278" s="159"/>
      <c r="N278" s="150"/>
      <c r="O278" s="150"/>
    </row>
    <row r="279" spans="1:16" s="149" customFormat="1" ht="15" customHeight="1">
      <c r="A279" s="149" t="s">
        <v>0</v>
      </c>
      <c r="B279" s="45" t="s">
        <v>113</v>
      </c>
      <c r="C279" s="44"/>
      <c r="D279" s="169"/>
      <c r="E279" s="169"/>
      <c r="F279" s="42"/>
      <c r="G279" s="42"/>
      <c r="H279" s="42"/>
      <c r="I279" s="168"/>
      <c r="J279" s="167"/>
      <c r="K279" s="167"/>
      <c r="L279" s="167"/>
      <c r="M279" s="167"/>
      <c r="N279" s="150"/>
      <c r="O279" s="150"/>
      <c r="P279" s="150"/>
    </row>
    <row r="280" spans="1:16" s="149" customFormat="1" ht="15" customHeight="1" outlineLevel="1">
      <c r="B280" s="147"/>
      <c r="C280" s="40"/>
      <c r="D280" s="146"/>
      <c r="E280" s="146"/>
      <c r="F280" s="145"/>
      <c r="G280" s="145"/>
      <c r="H280" s="145"/>
      <c r="I280" s="145"/>
      <c r="J280" s="145"/>
      <c r="K280" s="145"/>
      <c r="L280" s="145"/>
      <c r="M280" s="145"/>
      <c r="N280" s="150"/>
      <c r="O280" s="150"/>
      <c r="P280" s="121"/>
    </row>
    <row r="281" spans="1:16" s="149" customFormat="1" ht="15" customHeight="1" outlineLevel="1" thickBot="1">
      <c r="B281" s="41" t="s">
        <v>15</v>
      </c>
      <c r="C281" s="40"/>
      <c r="D281" s="39"/>
      <c r="E281" s="39"/>
      <c r="F281" s="145"/>
      <c r="G281" s="39"/>
      <c r="H281" s="165">
        <f t="shared" ref="H281:M281" si="42">H$5</f>
        <v>2022</v>
      </c>
      <c r="I281" s="105">
        <f t="shared" si="42"/>
        <v>2023</v>
      </c>
      <c r="J281" s="105">
        <f t="shared" si="42"/>
        <v>2024</v>
      </c>
      <c r="K281" s="105">
        <f t="shared" si="42"/>
        <v>2025</v>
      </c>
      <c r="L281" s="105">
        <f t="shared" si="42"/>
        <v>2026</v>
      </c>
      <c r="M281" s="105">
        <f t="shared" si="42"/>
        <v>2027</v>
      </c>
      <c r="N281" s="3"/>
      <c r="O281" s="3"/>
      <c r="P281" s="121"/>
    </row>
    <row r="282" spans="1:16" ht="15" customHeight="1" outlineLevel="1">
      <c r="A282" s="7"/>
      <c r="B282" s="41" t="str">
        <f>B$6</f>
        <v>Model Running: Base Case Drivers</v>
      </c>
      <c r="C282" s="40"/>
      <c r="D282" s="39"/>
      <c r="E282" s="39"/>
      <c r="F282" s="39"/>
      <c r="G282" s="39"/>
      <c r="H282" s="39"/>
      <c r="I282" s="159"/>
      <c r="J282" s="159"/>
      <c r="K282" s="159"/>
      <c r="L282" s="159"/>
      <c r="M282" s="159"/>
      <c r="P282" s="3"/>
    </row>
    <row r="283" spans="1:16" s="149" customFormat="1" ht="15" customHeight="1" outlineLevel="1">
      <c r="B283" s="41"/>
      <c r="C283" s="40"/>
      <c r="D283" s="39"/>
      <c r="E283" s="39"/>
      <c r="F283" s="39"/>
      <c r="G283" s="39"/>
      <c r="H283" s="39"/>
      <c r="I283" s="159"/>
      <c r="J283" s="159"/>
      <c r="K283" s="159"/>
      <c r="L283" s="159"/>
      <c r="M283" s="159"/>
      <c r="N283" s="150"/>
      <c r="O283" s="150"/>
      <c r="P283" s="3"/>
    </row>
    <row r="284" spans="1:16" s="149" customFormat="1" ht="15" customHeight="1" outlineLevel="1">
      <c r="B284" s="11" t="s">
        <v>54</v>
      </c>
      <c r="C284" s="40"/>
      <c r="D284" s="39"/>
      <c r="E284" s="39"/>
      <c r="F284" s="39"/>
      <c r="G284" s="158"/>
      <c r="H284" s="158"/>
      <c r="I284" s="220">
        <f>I240</f>
        <v>25475</v>
      </c>
      <c r="J284" s="219">
        <f>J240</f>
        <v>7050</v>
      </c>
      <c r="K284" s="219">
        <f>K240</f>
        <v>7275</v>
      </c>
      <c r="L284" s="219">
        <f>L240</f>
        <v>7200</v>
      </c>
      <c r="M284" s="218">
        <f>M240</f>
        <v>7687.5</v>
      </c>
      <c r="P284" s="217"/>
    </row>
    <row r="285" spans="1:16" s="149" customFormat="1" ht="15" customHeight="1" outlineLevel="1">
      <c r="B285" s="41"/>
      <c r="C285" s="40"/>
      <c r="D285" s="39"/>
      <c r="E285" s="39"/>
      <c r="F285" s="39"/>
      <c r="G285" s="39"/>
      <c r="H285" s="39"/>
      <c r="I285" s="159"/>
      <c r="J285" s="159"/>
      <c r="K285" s="159"/>
      <c r="L285" s="159"/>
      <c r="M285" s="159"/>
      <c r="P285" s="150"/>
    </row>
    <row r="286" spans="1:16" s="149" customFormat="1" ht="15" customHeight="1" outlineLevel="1">
      <c r="B286" s="195" t="s">
        <v>36</v>
      </c>
      <c r="C286" s="216"/>
      <c r="D286" s="215">
        <f>Inputs!$L$51</f>
        <v>0.5</v>
      </c>
      <c r="E286" s="39"/>
      <c r="F286" s="39"/>
      <c r="G286" s="39"/>
      <c r="H286" s="39"/>
      <c r="I286" s="159"/>
      <c r="J286" s="159"/>
      <c r="K286" s="159"/>
      <c r="L286" s="159"/>
      <c r="M286" s="159"/>
      <c r="P286" s="150"/>
    </row>
    <row r="287" spans="1:16" s="149" customFormat="1" ht="15" customHeight="1" outlineLevel="1">
      <c r="B287" s="214" t="s">
        <v>35</v>
      </c>
      <c r="C287" s="213"/>
      <c r="D287" s="212">
        <f>Inputs!$L$52</f>
        <v>0.15</v>
      </c>
      <c r="E287" s="39"/>
      <c r="F287" s="39"/>
      <c r="G287" s="39"/>
      <c r="H287" s="39"/>
      <c r="J287" s="159"/>
      <c r="K287" s="159"/>
      <c r="L287" s="159"/>
      <c r="M287" s="159"/>
      <c r="P287" s="150"/>
    </row>
    <row r="288" spans="1:16" s="149" customFormat="1" ht="15" customHeight="1" outlineLevel="1">
      <c r="B288" s="211"/>
      <c r="C288" s="210"/>
      <c r="D288" s="209"/>
      <c r="E288" s="39"/>
      <c r="F288" s="39"/>
      <c r="G288" s="39"/>
      <c r="H288" s="39"/>
      <c r="I288" s="208"/>
      <c r="J288" s="208"/>
      <c r="K288" s="208"/>
      <c r="L288" s="208"/>
      <c r="M288" s="208"/>
      <c r="P288" s="121"/>
    </row>
    <row r="289" spans="2:16" s="149" customFormat="1" ht="15" customHeight="1" outlineLevel="1">
      <c r="B289" s="211"/>
      <c r="C289" s="210"/>
      <c r="D289" s="209"/>
      <c r="E289" s="39"/>
      <c r="F289" s="39"/>
      <c r="G289" s="39"/>
      <c r="H289" s="39"/>
      <c r="I289" s="208"/>
      <c r="J289" s="208"/>
      <c r="K289" s="208"/>
      <c r="L289" s="208"/>
      <c r="M289" s="208"/>
      <c r="P289" s="159"/>
    </row>
    <row r="290" spans="2:16" s="149" customFormat="1" ht="15" customHeight="1" outlineLevel="1">
      <c r="B290" s="188" t="s">
        <v>112</v>
      </c>
      <c r="C290" s="40"/>
      <c r="D290" s="39"/>
      <c r="E290" s="39"/>
      <c r="F290" s="39"/>
      <c r="G290" s="39"/>
      <c r="H290" s="39"/>
      <c r="I290" s="159"/>
      <c r="J290" s="159"/>
      <c r="K290" s="159"/>
      <c r="L290" s="159"/>
      <c r="M290" s="159"/>
      <c r="P290" s="159"/>
    </row>
    <row r="291" spans="2:16" s="149" customFormat="1" ht="15" customHeight="1" outlineLevel="1">
      <c r="B291" s="18" t="s">
        <v>95</v>
      </c>
      <c r="C291" s="40"/>
      <c r="D291" s="39"/>
      <c r="E291" s="39"/>
      <c r="F291" s="39"/>
      <c r="G291" s="181"/>
      <c r="H291" s="158"/>
      <c r="I291" s="158">
        <f>H294</f>
        <v>75407</v>
      </c>
      <c r="J291" s="158">
        <f>I294</f>
        <v>95532.1875</v>
      </c>
      <c r="K291" s="158">
        <f>J294</f>
        <v>96419.25</v>
      </c>
      <c r="L291" s="158">
        <f>K294</f>
        <v>97173.1875</v>
      </c>
      <c r="M291" s="158">
        <f>L294</f>
        <v>97490.25</v>
      </c>
    </row>
    <row r="292" spans="2:16" s="149" customFormat="1" ht="15" customHeight="1" outlineLevel="1">
      <c r="B292" s="18" t="s">
        <v>54</v>
      </c>
      <c r="C292" s="40"/>
      <c r="D292" s="39"/>
      <c r="E292" s="39"/>
      <c r="F292" s="39"/>
      <c r="G292" s="181"/>
      <c r="H292" s="207"/>
      <c r="I292" s="158">
        <f>I284</f>
        <v>25475</v>
      </c>
      <c r="J292" s="158">
        <f>J284</f>
        <v>7050</v>
      </c>
      <c r="K292" s="158">
        <f>K284</f>
        <v>7275</v>
      </c>
      <c r="L292" s="158">
        <f>L284</f>
        <v>7200</v>
      </c>
      <c r="M292" s="158">
        <f>M284</f>
        <v>7687.5</v>
      </c>
    </row>
    <row r="293" spans="2:16" s="149" customFormat="1" ht="15" customHeight="1" outlineLevel="1">
      <c r="B293" s="18" t="s">
        <v>111</v>
      </c>
      <c r="C293" s="40"/>
      <c r="D293" s="39"/>
      <c r="E293" s="39"/>
      <c r="F293" s="39"/>
      <c r="G293" s="181"/>
      <c r="H293" s="161"/>
      <c r="I293" s="161">
        <f>-I271</f>
        <v>-5349.8125</v>
      </c>
      <c r="J293" s="161">
        <f>-J271</f>
        <v>-6162.9375</v>
      </c>
      <c r="K293" s="161">
        <f>-K271</f>
        <v>-6521.0625</v>
      </c>
      <c r="L293" s="161">
        <f>-L271</f>
        <v>-6882.9375</v>
      </c>
      <c r="M293" s="161">
        <f>-M271</f>
        <v>-7255.125</v>
      </c>
    </row>
    <row r="294" spans="2:16" s="149" customFormat="1" ht="15" customHeight="1" outlineLevel="1">
      <c r="B294" s="18" t="s">
        <v>92</v>
      </c>
      <c r="C294" s="40"/>
      <c r="D294" s="39"/>
      <c r="E294" s="39"/>
      <c r="F294" s="206"/>
      <c r="G294" s="181"/>
      <c r="H294" s="186">
        <f>H87</f>
        <v>75407</v>
      </c>
      <c r="I294" s="158">
        <f>SUM(I291:I293)</f>
        <v>95532.1875</v>
      </c>
      <c r="J294" s="158">
        <f>SUM(J291:J293)</f>
        <v>96419.25</v>
      </c>
      <c r="K294" s="158">
        <f>SUM(K291:K293)</f>
        <v>97173.1875</v>
      </c>
      <c r="L294" s="158">
        <f>SUM(L291:L293)</f>
        <v>97490.25</v>
      </c>
      <c r="M294" s="158">
        <f>SUM(M291:M293)</f>
        <v>97922.625</v>
      </c>
      <c r="P294" s="4"/>
    </row>
    <row r="295" spans="2:16" s="149" customFormat="1" ht="15" customHeight="1" outlineLevel="1">
      <c r="B295" s="41"/>
      <c r="C295" s="40"/>
      <c r="D295" s="39"/>
      <c r="E295" s="39"/>
      <c r="F295" s="39"/>
      <c r="G295" s="39"/>
      <c r="H295" s="172"/>
      <c r="I295" s="172"/>
      <c r="J295" s="172"/>
      <c r="K295" s="172"/>
      <c r="L295" s="172"/>
      <c r="M295" s="172"/>
      <c r="N295" s="159"/>
      <c r="O295" s="159"/>
      <c r="P295" s="4"/>
    </row>
    <row r="296" spans="2:16" s="149" customFormat="1" ht="15" customHeight="1" outlineLevel="1">
      <c r="B296" s="41"/>
      <c r="C296" s="40"/>
      <c r="D296" s="39"/>
      <c r="E296" s="39"/>
      <c r="F296" s="39"/>
      <c r="G296" s="39"/>
      <c r="H296" s="172"/>
      <c r="I296" s="172"/>
      <c r="J296" s="172"/>
      <c r="K296" s="172"/>
      <c r="L296" s="172"/>
      <c r="M296" s="172"/>
      <c r="N296" s="159"/>
      <c r="O296" s="159"/>
      <c r="P296" s="4"/>
    </row>
    <row r="297" spans="2:16" s="149" customFormat="1" ht="15" customHeight="1" outlineLevel="1">
      <c r="B297" s="188" t="s">
        <v>110</v>
      </c>
      <c r="C297" s="40"/>
      <c r="D297" s="39"/>
      <c r="E297" s="39"/>
      <c r="F297" s="39"/>
      <c r="G297" s="39"/>
      <c r="H297" s="172"/>
      <c r="I297" s="172"/>
      <c r="J297" s="172"/>
      <c r="K297" s="172"/>
      <c r="L297" s="172"/>
      <c r="M297" s="172"/>
      <c r="N297" s="159"/>
      <c r="O297" s="159"/>
      <c r="P297" s="205"/>
    </row>
    <row r="298" spans="2:16" s="149" customFormat="1" ht="15" customHeight="1" outlineLevel="1">
      <c r="B298" s="18" t="s">
        <v>95</v>
      </c>
      <c r="C298" s="40"/>
      <c r="D298" s="39"/>
      <c r="E298" s="39"/>
      <c r="F298" s="39"/>
      <c r="G298" s="181"/>
      <c r="H298" s="158"/>
      <c r="I298" s="158">
        <f>H301</f>
        <v>39211</v>
      </c>
      <c r="J298" s="158">
        <f>I301</f>
        <v>56893.724999999999</v>
      </c>
      <c r="K298" s="158">
        <f>J301</f>
        <v>54880.916249999995</v>
      </c>
      <c r="L298" s="158">
        <f>K301</f>
        <v>53378.153812499993</v>
      </c>
      <c r="M298" s="158">
        <f>L301</f>
        <v>52031.430740624994</v>
      </c>
      <c r="N298" s="159"/>
      <c r="O298" s="159"/>
    </row>
    <row r="299" spans="2:16" s="149" customFormat="1" ht="15" customHeight="1" outlineLevel="1">
      <c r="B299" s="18" t="s">
        <v>54</v>
      </c>
      <c r="C299" s="40"/>
      <c r="D299" s="39"/>
      <c r="E299" s="39"/>
      <c r="F299" s="39"/>
      <c r="G299" s="181"/>
      <c r="H299" s="158"/>
      <c r="I299" s="158">
        <f>I292</f>
        <v>25475</v>
      </c>
      <c r="J299" s="158">
        <f>J292</f>
        <v>7050</v>
      </c>
      <c r="K299" s="158">
        <f>K292</f>
        <v>7275</v>
      </c>
      <c r="L299" s="158">
        <f>L292</f>
        <v>7200</v>
      </c>
      <c r="M299" s="158">
        <f>M292</f>
        <v>7687.5</v>
      </c>
      <c r="N299" s="159"/>
      <c r="O299" s="159"/>
    </row>
    <row r="300" spans="2:16" s="149" customFormat="1" ht="15" customHeight="1" outlineLevel="1">
      <c r="B300" s="18" t="s">
        <v>109</v>
      </c>
      <c r="H300" s="204"/>
      <c r="I300" s="161">
        <f>-(I298+I299*$D$286)*$D$287</f>
        <v>-7792.2749999999996</v>
      </c>
      <c r="J300" s="161">
        <f>-(J298+J299*$D$286)*$D$287</f>
        <v>-9062.8087500000001</v>
      </c>
      <c r="K300" s="161">
        <f>-(K298+K299*$D$286)*$D$287</f>
        <v>-8777.7624374999996</v>
      </c>
      <c r="L300" s="161">
        <f>-(L298+L299*$D$286)*$D$287</f>
        <v>-8546.7230718749979</v>
      </c>
      <c r="M300" s="161">
        <f>-(M298+M299*$D$286)*$D$287</f>
        <v>-8381.2771110937483</v>
      </c>
      <c r="P300" s="166"/>
    </row>
    <row r="301" spans="2:16" s="149" customFormat="1" ht="15" customHeight="1" outlineLevel="1">
      <c r="B301" s="18" t="s">
        <v>92</v>
      </c>
      <c r="C301" s="40"/>
      <c r="D301" s="39"/>
      <c r="E301" s="39"/>
      <c r="F301" s="203"/>
      <c r="G301" s="181"/>
      <c r="H301" s="186">
        <f>Inputs!$L$53</f>
        <v>39211</v>
      </c>
      <c r="I301" s="158">
        <f>SUM(I298:I300)</f>
        <v>56893.724999999999</v>
      </c>
      <c r="J301" s="158">
        <f>SUM(J298:J300)</f>
        <v>54880.916249999995</v>
      </c>
      <c r="K301" s="158">
        <f>SUM(K298:K300)</f>
        <v>53378.153812499993</v>
      </c>
      <c r="L301" s="158">
        <f>SUM(L298:L300)</f>
        <v>52031.430740624994</v>
      </c>
      <c r="M301" s="158">
        <f>SUM(M298:M300)</f>
        <v>51337.653629531247</v>
      </c>
      <c r="P301" s="4"/>
    </row>
    <row r="302" spans="2:16" s="149" customFormat="1" ht="15" customHeight="1" outlineLevel="1">
      <c r="B302" s="41"/>
      <c r="C302" s="40"/>
      <c r="D302" s="39"/>
      <c r="E302" s="39"/>
      <c r="F302" s="39"/>
      <c r="G302" s="39"/>
      <c r="H302" s="39"/>
      <c r="I302" s="159"/>
      <c r="J302" s="159"/>
      <c r="K302" s="159"/>
      <c r="L302" s="159"/>
      <c r="M302" s="159"/>
      <c r="P302" s="4"/>
    </row>
    <row r="303" spans="2:16" s="149" customFormat="1" ht="15" customHeight="1" outlineLevel="1">
      <c r="B303" s="41"/>
      <c r="C303" s="40"/>
      <c r="D303" s="39"/>
      <c r="E303" s="39"/>
      <c r="F303" s="39"/>
      <c r="G303" s="39"/>
      <c r="H303" s="39"/>
      <c r="I303" s="159"/>
      <c r="J303" s="159"/>
      <c r="K303" s="159"/>
      <c r="L303" s="159"/>
      <c r="M303" s="159"/>
      <c r="N303" s="150"/>
      <c r="O303" s="150"/>
      <c r="P303" s="4"/>
    </row>
    <row r="304" spans="2:16" s="149" customFormat="1" ht="15" customHeight="1" outlineLevel="1">
      <c r="B304" s="41"/>
      <c r="C304" s="40"/>
      <c r="D304" s="39"/>
      <c r="E304" s="39"/>
      <c r="F304" s="39"/>
      <c r="G304" s="39"/>
      <c r="H304" s="39"/>
      <c r="I304" s="159"/>
      <c r="J304" s="159"/>
      <c r="K304" s="159"/>
      <c r="L304" s="159"/>
      <c r="M304" s="176" t="s">
        <v>108</v>
      </c>
      <c r="N304" s="3"/>
      <c r="O304" s="3"/>
      <c r="P304" s="4"/>
    </row>
    <row r="305" spans="1:16" s="149" customFormat="1" ht="15" customHeight="1" outlineLevel="1">
      <c r="B305" s="41"/>
      <c r="C305" s="40"/>
      <c r="D305" s="39"/>
      <c r="E305" s="39"/>
      <c r="F305" s="39"/>
      <c r="G305" s="39"/>
      <c r="H305" s="39"/>
      <c r="I305" s="159"/>
      <c r="J305" s="159"/>
      <c r="K305" s="159"/>
      <c r="L305" s="159"/>
      <c r="M305" s="202"/>
      <c r="N305" s="3"/>
      <c r="O305" s="3"/>
      <c r="P305" s="4"/>
    </row>
    <row r="306" spans="1:16" s="149" customFormat="1" ht="15" customHeight="1" outlineLevel="1">
      <c r="B306" s="154"/>
      <c r="C306" s="153"/>
      <c r="D306" s="152"/>
      <c r="E306" s="152"/>
      <c r="F306" s="152"/>
      <c r="G306" s="152"/>
      <c r="H306" s="152"/>
      <c r="I306" s="151"/>
      <c r="J306" s="151"/>
      <c r="K306" s="151"/>
      <c r="L306" s="151"/>
      <c r="M306" s="151"/>
      <c r="N306" s="164"/>
      <c r="O306" s="164"/>
      <c r="P306" s="4"/>
    </row>
    <row r="307" spans="1:16" s="149" customFormat="1" ht="15" customHeight="1">
      <c r="B307" s="41"/>
      <c r="C307" s="40"/>
      <c r="D307" s="39"/>
      <c r="E307" s="39"/>
      <c r="F307" s="39"/>
      <c r="G307" s="39"/>
      <c r="H307" s="39"/>
      <c r="I307" s="159"/>
      <c r="J307" s="159"/>
      <c r="K307" s="159"/>
      <c r="L307" s="159"/>
      <c r="M307" s="159"/>
      <c r="N307" s="164"/>
      <c r="O307" s="164"/>
      <c r="P307" s="4"/>
    </row>
    <row r="308" spans="1:16" s="149" customFormat="1" ht="15" customHeight="1">
      <c r="A308" s="149" t="s">
        <v>0</v>
      </c>
      <c r="B308" s="45" t="s">
        <v>107</v>
      </c>
      <c r="C308" s="44"/>
      <c r="D308" s="169"/>
      <c r="E308" s="169"/>
      <c r="F308" s="42"/>
      <c r="G308" s="42"/>
      <c r="H308" s="42"/>
      <c r="I308" s="168"/>
      <c r="J308" s="167"/>
      <c r="K308" s="167"/>
      <c r="L308" s="167"/>
      <c r="M308" s="167"/>
      <c r="N308" s="164"/>
      <c r="O308" s="164"/>
      <c r="P308" s="166"/>
    </row>
    <row r="309" spans="1:16" s="149" customFormat="1" ht="15" customHeight="1" outlineLevel="1">
      <c r="B309" s="147"/>
      <c r="C309" s="40"/>
      <c r="D309" s="146"/>
      <c r="E309" s="146"/>
      <c r="F309" s="145"/>
      <c r="G309" s="145"/>
      <c r="H309" s="145"/>
      <c r="I309" s="145"/>
      <c r="J309" s="145"/>
      <c r="K309" s="145"/>
      <c r="L309" s="145"/>
      <c r="M309" s="145"/>
      <c r="N309" s="164"/>
      <c r="O309" s="164"/>
    </row>
    <row r="310" spans="1:16" s="149" customFormat="1" ht="15" customHeight="1" outlineLevel="1" thickBot="1">
      <c r="B310" s="41" t="s">
        <v>15</v>
      </c>
      <c r="C310" s="40"/>
      <c r="D310" s="39"/>
      <c r="E310" s="39"/>
      <c r="F310" s="39"/>
      <c r="G310" s="39"/>
      <c r="H310" s="165">
        <f t="shared" ref="H310:M310" si="43">H$5</f>
        <v>2022</v>
      </c>
      <c r="I310" s="105">
        <f t="shared" si="43"/>
        <v>2023</v>
      </c>
      <c r="J310" s="105">
        <f t="shared" si="43"/>
        <v>2024</v>
      </c>
      <c r="K310" s="105">
        <f t="shared" si="43"/>
        <v>2025</v>
      </c>
      <c r="L310" s="105">
        <f t="shared" si="43"/>
        <v>2026</v>
      </c>
      <c r="M310" s="105">
        <f t="shared" si="43"/>
        <v>2027</v>
      </c>
      <c r="N310" s="164"/>
      <c r="O310" s="164"/>
      <c r="P310" s="3"/>
    </row>
    <row r="311" spans="1:16" ht="15" customHeight="1" outlineLevel="1">
      <c r="A311" s="7"/>
      <c r="B311" s="41" t="str">
        <f>B$6</f>
        <v>Model Running: Base Case Drivers</v>
      </c>
      <c r="C311" s="40"/>
      <c r="D311" s="39"/>
      <c r="E311" s="39"/>
      <c r="F311" s="39"/>
      <c r="G311" s="39"/>
      <c r="H311" s="39"/>
      <c r="I311" s="159"/>
      <c r="J311" s="159"/>
      <c r="K311" s="159"/>
      <c r="L311" s="159"/>
      <c r="M311" s="159"/>
      <c r="P311" s="3"/>
    </row>
    <row r="312" spans="1:16" s="149" customFormat="1" ht="15" customHeight="1" outlineLevel="1">
      <c r="B312" s="41"/>
      <c r="C312" s="40"/>
      <c r="D312" s="39"/>
      <c r="E312" s="39"/>
      <c r="F312" s="39"/>
      <c r="G312" s="39"/>
      <c r="H312" s="39"/>
      <c r="I312" s="159"/>
      <c r="J312" s="159"/>
      <c r="K312" s="159"/>
      <c r="L312" s="159"/>
      <c r="M312" s="159"/>
      <c r="N312" s="150"/>
      <c r="O312" s="150"/>
    </row>
    <row r="313" spans="1:16" s="149" customFormat="1" ht="15" customHeight="1" outlineLevel="1">
      <c r="B313" s="11" t="s">
        <v>106</v>
      </c>
      <c r="C313" s="40"/>
      <c r="D313" s="39"/>
      <c r="E313" s="39"/>
      <c r="G313" s="181"/>
      <c r="H313" s="158"/>
      <c r="I313" s="201">
        <f ca="1">I27</f>
        <v>14651.172113577997</v>
      </c>
      <c r="J313" s="200">
        <f ca="1">J27</f>
        <v>13931.302438224518</v>
      </c>
      <c r="K313" s="200">
        <f ca="1">K27</f>
        <v>13949.21109245232</v>
      </c>
      <c r="L313" s="200">
        <f ca="1">L27</f>
        <v>13865.25003340816</v>
      </c>
      <c r="M313" s="199">
        <f ca="1">M27</f>
        <v>13405.370029820375</v>
      </c>
      <c r="N313" s="3"/>
      <c r="O313" s="3"/>
    </row>
    <row r="314" spans="1:16" s="149" customFormat="1" ht="15" customHeight="1" outlineLevel="1">
      <c r="B314" s="11" t="s">
        <v>105</v>
      </c>
      <c r="C314" s="40"/>
      <c r="D314" s="39"/>
      <c r="E314" s="39"/>
      <c r="F314" s="39"/>
      <c r="G314" s="39"/>
      <c r="H314" s="39"/>
      <c r="I314" s="198">
        <f ca="1">IF(I324&gt;0,1,0)</f>
        <v>1</v>
      </c>
      <c r="J314" s="197">
        <f ca="1">IF(J324&gt;0,1,0)</f>
        <v>1</v>
      </c>
      <c r="K314" s="197">
        <f ca="1">IF(K324&gt;0,1,0)</f>
        <v>1</v>
      </c>
      <c r="L314" s="197">
        <f ca="1">IF(L324&gt;0,1,0)</f>
        <v>1</v>
      </c>
      <c r="M314" s="196">
        <f ca="1">IF(M324&gt;0,1,0)</f>
        <v>1</v>
      </c>
      <c r="N314" s="3"/>
      <c r="O314" s="3"/>
    </row>
    <row r="315" spans="1:16" s="149" customFormat="1" ht="15" customHeight="1" outlineLevel="1">
      <c r="B315" s="41"/>
      <c r="C315" s="40"/>
      <c r="D315" s="39"/>
      <c r="E315" s="39"/>
      <c r="F315" s="39"/>
      <c r="G315" s="39"/>
      <c r="H315" s="39"/>
      <c r="I315" s="159"/>
      <c r="J315" s="159"/>
      <c r="K315" s="159"/>
      <c r="L315" s="159"/>
      <c r="M315" s="159"/>
      <c r="N315" s="3"/>
      <c r="O315" s="3"/>
    </row>
    <row r="316" spans="1:16" s="149" customFormat="1" ht="15" customHeight="1" outlineLevel="1">
      <c r="B316" s="195" t="s">
        <v>38</v>
      </c>
      <c r="C316" s="194"/>
      <c r="D316" s="193">
        <f>Inputs!L50</f>
        <v>0.3</v>
      </c>
      <c r="E316" s="39"/>
      <c r="F316" s="39"/>
      <c r="G316" s="39"/>
      <c r="H316" s="39"/>
      <c r="I316" s="159"/>
      <c r="J316" s="159"/>
      <c r="K316" s="159"/>
      <c r="L316" s="159"/>
      <c r="M316" s="159"/>
      <c r="N316" s="3"/>
      <c r="O316" s="3"/>
      <c r="P316" s="121"/>
    </row>
    <row r="317" spans="1:16" ht="15" customHeight="1" outlineLevel="1">
      <c r="A317" s="149"/>
      <c r="B317" s="192" t="s">
        <v>2</v>
      </c>
      <c r="C317" s="153"/>
      <c r="D317" s="191">
        <f ca="1">IF(M335=0,0,1)</f>
        <v>0</v>
      </c>
      <c r="E317" s="39"/>
      <c r="F317" s="158"/>
      <c r="G317" s="190"/>
      <c r="H317" s="158"/>
      <c r="I317" s="158"/>
      <c r="J317" s="158"/>
      <c r="K317" s="158"/>
      <c r="L317" s="158"/>
      <c r="N317" s="3"/>
      <c r="O317" s="3"/>
    </row>
    <row r="318" spans="1:16" s="149" customFormat="1" ht="15" customHeight="1" outlineLevel="1">
      <c r="B318" s="41"/>
      <c r="C318" s="40"/>
      <c r="D318" s="189"/>
      <c r="E318" s="39"/>
      <c r="F318" s="39"/>
      <c r="G318" s="39"/>
      <c r="H318" s="39"/>
      <c r="I318" s="159"/>
      <c r="J318" s="159"/>
      <c r="K318" s="159"/>
      <c r="L318" s="159"/>
      <c r="M318" s="159"/>
    </row>
    <row r="319" spans="1:16" s="149" customFormat="1" ht="15" customHeight="1" outlineLevel="1">
      <c r="B319" s="41"/>
      <c r="C319" s="40"/>
      <c r="D319" s="189"/>
      <c r="E319" s="39"/>
      <c r="F319" s="39"/>
      <c r="G319" s="39"/>
      <c r="H319" s="39"/>
      <c r="I319" s="159"/>
      <c r="J319" s="159"/>
      <c r="K319" s="159"/>
      <c r="L319" s="159"/>
      <c r="M319" s="159"/>
    </row>
    <row r="320" spans="1:16" s="149" customFormat="1" ht="15" customHeight="1" outlineLevel="1">
      <c r="B320" s="160" t="s">
        <v>104</v>
      </c>
      <c r="C320" s="40"/>
      <c r="D320" s="39"/>
      <c r="E320" s="39"/>
      <c r="F320" s="39"/>
      <c r="G320" s="39"/>
      <c r="H320" s="39"/>
      <c r="I320" s="159"/>
      <c r="J320" s="159"/>
      <c r="K320" s="159"/>
      <c r="L320" s="159"/>
      <c r="M320" s="159"/>
      <c r="N320" s="150"/>
      <c r="O320" s="150"/>
    </row>
    <row r="321" spans="2:16" s="149" customFormat="1" ht="15" customHeight="1" outlineLevel="1">
      <c r="B321" s="18" t="s">
        <v>103</v>
      </c>
      <c r="C321" s="40"/>
      <c r="D321" s="39"/>
      <c r="E321" s="39"/>
      <c r="F321" s="39"/>
      <c r="G321" s="39"/>
      <c r="H321" s="158"/>
      <c r="I321" s="158">
        <f ca="1">I313</f>
        <v>14651.172113577997</v>
      </c>
      <c r="J321" s="158">
        <f ca="1">J313</f>
        <v>13931.302438224518</v>
      </c>
      <c r="K321" s="158">
        <f ca="1">K313</f>
        <v>13949.21109245232</v>
      </c>
      <c r="L321" s="158">
        <f ca="1">L313</f>
        <v>13865.25003340816</v>
      </c>
      <c r="M321" s="158">
        <f ca="1">M313</f>
        <v>13405.370029820375</v>
      </c>
      <c r="N321" s="150"/>
      <c r="O321" s="150"/>
      <c r="P321" s="4"/>
    </row>
    <row r="322" spans="2:16" s="149" customFormat="1" ht="15" customHeight="1" outlineLevel="1">
      <c r="B322" s="18" t="s">
        <v>102</v>
      </c>
      <c r="C322" s="40"/>
      <c r="D322" s="39"/>
      <c r="E322" s="39"/>
      <c r="F322" s="39"/>
      <c r="G322" s="39"/>
      <c r="H322" s="172"/>
      <c r="I322" s="158">
        <f>-I$293</f>
        <v>5349.8125</v>
      </c>
      <c r="J322" s="158">
        <f>-J$293</f>
        <v>6162.9375</v>
      </c>
      <c r="K322" s="158">
        <f>-K$293</f>
        <v>6521.0625</v>
      </c>
      <c r="L322" s="158">
        <f>-L$293</f>
        <v>6882.9375</v>
      </c>
      <c r="M322" s="158">
        <f>-M$293</f>
        <v>7255.125</v>
      </c>
      <c r="N322" s="3"/>
      <c r="O322" s="3"/>
      <c r="P322" s="4"/>
    </row>
    <row r="323" spans="2:16" s="149" customFormat="1" ht="15" customHeight="1" outlineLevel="1">
      <c r="B323" s="18" t="s">
        <v>101</v>
      </c>
      <c r="C323" s="40"/>
      <c r="D323" s="39"/>
      <c r="E323" s="39"/>
      <c r="F323" s="39"/>
      <c r="G323" s="39"/>
      <c r="H323" s="172"/>
      <c r="I323" s="161">
        <f>I$300</f>
        <v>-7792.2749999999996</v>
      </c>
      <c r="J323" s="161">
        <f>J$300</f>
        <v>-9062.8087500000001</v>
      </c>
      <c r="K323" s="161">
        <f>K$300</f>
        <v>-8777.7624374999996</v>
      </c>
      <c r="L323" s="161">
        <f>L$300</f>
        <v>-8546.7230718749979</v>
      </c>
      <c r="M323" s="161">
        <f>M$300</f>
        <v>-8381.2771110937483</v>
      </c>
      <c r="N323" s="3"/>
      <c r="O323" s="3"/>
      <c r="P323" s="70"/>
    </row>
    <row r="324" spans="2:16" s="149" customFormat="1" ht="15" customHeight="1" outlineLevel="1">
      <c r="B324" s="18" t="s">
        <v>99</v>
      </c>
      <c r="C324" s="40"/>
      <c r="D324" s="39"/>
      <c r="E324" s="39"/>
      <c r="F324" s="39"/>
      <c r="G324" s="39"/>
      <c r="H324" s="158"/>
      <c r="I324" s="158">
        <f ca="1">SUM(I321:I323)</f>
        <v>12208.709613577996</v>
      </c>
      <c r="J324" s="158">
        <f ca="1">SUM(J321:J323)</f>
        <v>11031.43118822452</v>
      </c>
      <c r="K324" s="158">
        <f ca="1">SUM(K321:K323)</f>
        <v>11692.511154952323</v>
      </c>
      <c r="L324" s="158">
        <f ca="1">SUM(L321:L323)</f>
        <v>12201.464461533162</v>
      </c>
      <c r="M324" s="158">
        <f ca="1">SUM(M321:M323)</f>
        <v>12279.217918726628</v>
      </c>
      <c r="N324" s="150"/>
      <c r="O324" s="150"/>
      <c r="P324" s="4"/>
    </row>
    <row r="325" spans="2:16" s="149" customFormat="1" ht="15" customHeight="1" outlineLevel="1">
      <c r="B325" s="41"/>
      <c r="C325" s="40"/>
      <c r="D325" s="39"/>
      <c r="E325" s="39"/>
      <c r="F325" s="39"/>
      <c r="G325" s="39"/>
      <c r="H325" s="172"/>
      <c r="I325" s="158"/>
      <c r="J325" s="158"/>
      <c r="K325" s="158"/>
      <c r="L325" s="158"/>
      <c r="M325" s="158"/>
      <c r="N325" s="3"/>
      <c r="O325" s="3"/>
      <c r="P325" s="4"/>
    </row>
    <row r="326" spans="2:16" s="149" customFormat="1" ht="15" customHeight="1" outlineLevel="1">
      <c r="B326" s="188" t="s">
        <v>100</v>
      </c>
      <c r="C326" s="40"/>
      <c r="D326" s="39"/>
      <c r="E326" s="39"/>
      <c r="F326" s="39"/>
      <c r="G326" s="39"/>
      <c r="H326" s="172"/>
      <c r="I326" s="158"/>
      <c r="J326" s="158"/>
      <c r="K326" s="158"/>
      <c r="L326" s="158"/>
      <c r="M326" s="158"/>
      <c r="N326" s="3"/>
      <c r="O326" s="3"/>
    </row>
    <row r="327" spans="2:16" s="149" customFormat="1" ht="15" customHeight="1" outlineLevel="1">
      <c r="B327" s="18" t="s">
        <v>99</v>
      </c>
      <c r="C327" s="40"/>
      <c r="D327" s="39"/>
      <c r="E327" s="39"/>
      <c r="F327" s="39"/>
      <c r="G327" s="39"/>
      <c r="H327" s="158"/>
      <c r="I327" s="158">
        <f ca="1">I324</f>
        <v>12208.709613577996</v>
      </c>
      <c r="J327" s="158">
        <f ca="1">J324</f>
        <v>11031.43118822452</v>
      </c>
      <c r="K327" s="158">
        <f ca="1">K324</f>
        <v>11692.511154952323</v>
      </c>
      <c r="L327" s="158">
        <f ca="1">L324</f>
        <v>12201.464461533162</v>
      </c>
      <c r="M327" s="158">
        <f ca="1">M324</f>
        <v>12279.217918726628</v>
      </c>
      <c r="N327" s="3"/>
      <c r="O327" s="3"/>
    </row>
    <row r="328" spans="2:16" s="149" customFormat="1" ht="15" customHeight="1" outlineLevel="1">
      <c r="B328" s="187" t="s">
        <v>98</v>
      </c>
      <c r="C328" s="40"/>
      <c r="D328" s="39"/>
      <c r="E328" s="39"/>
      <c r="F328" s="39"/>
      <c r="G328" s="39"/>
      <c r="H328" s="172"/>
      <c r="I328" s="161">
        <f ca="1">I334</f>
        <v>-2657</v>
      </c>
      <c r="J328" s="161">
        <f ca="1">J334</f>
        <v>0</v>
      </c>
      <c r="K328" s="161">
        <f ca="1">K334</f>
        <v>0</v>
      </c>
      <c r="L328" s="161">
        <f ca="1">L334</f>
        <v>0</v>
      </c>
      <c r="M328" s="161">
        <f ca="1">M334</f>
        <v>0</v>
      </c>
      <c r="N328" s="3"/>
      <c r="O328" s="3"/>
    </row>
    <row r="329" spans="2:16" s="149" customFormat="1" ht="15" customHeight="1" outlineLevel="1">
      <c r="B329" s="18" t="s">
        <v>97</v>
      </c>
      <c r="C329" s="40"/>
      <c r="D329" s="39"/>
      <c r="E329" s="39"/>
      <c r="F329" s="39"/>
      <c r="G329" s="39"/>
      <c r="H329" s="172"/>
      <c r="I329" s="158">
        <f ca="1" xml:space="preserve"> MAX(SUM(I327:I328),0)</f>
        <v>9551.7096135779957</v>
      </c>
      <c r="J329" s="158">
        <f ca="1" xml:space="preserve"> MAX(SUM(J327:J328),0)</f>
        <v>11031.43118822452</v>
      </c>
      <c r="K329" s="158">
        <f ca="1" xml:space="preserve"> MAX(SUM(K327:K328),0)</f>
        <v>11692.511154952323</v>
      </c>
      <c r="L329" s="158">
        <f ca="1" xml:space="preserve"> MAX(SUM(L327:L328),0)</f>
        <v>12201.464461533162</v>
      </c>
      <c r="M329" s="158">
        <f ca="1" xml:space="preserve"> MAX(SUM(M327:M328),0)</f>
        <v>12279.217918726628</v>
      </c>
      <c r="N329" s="150"/>
      <c r="O329" s="150"/>
    </row>
    <row r="330" spans="2:16" s="149" customFormat="1" ht="15" customHeight="1" outlineLevel="1">
      <c r="B330" s="41"/>
      <c r="C330" s="40"/>
      <c r="D330" s="39"/>
      <c r="E330" s="39"/>
      <c r="F330" s="39"/>
      <c r="G330" s="39"/>
      <c r="H330" s="172"/>
      <c r="I330" s="172"/>
      <c r="J330" s="172"/>
      <c r="K330" s="172"/>
      <c r="L330" s="172"/>
      <c r="M330" s="172"/>
      <c r="N330" s="150"/>
      <c r="O330" s="150"/>
    </row>
    <row r="331" spans="2:16" s="149" customFormat="1" ht="15" customHeight="1" outlineLevel="1">
      <c r="B331" s="188" t="s">
        <v>96</v>
      </c>
      <c r="C331" s="40"/>
      <c r="D331" s="39"/>
      <c r="E331" s="39"/>
      <c r="F331" s="39"/>
      <c r="G331" s="39"/>
      <c r="H331" s="172"/>
      <c r="I331" s="172"/>
      <c r="J331" s="172"/>
      <c r="K331" s="172"/>
      <c r="L331" s="172"/>
      <c r="M331" s="172"/>
      <c r="N331" s="150"/>
      <c r="O331" s="150"/>
    </row>
    <row r="332" spans="2:16" s="149" customFormat="1" ht="15" customHeight="1" outlineLevel="1">
      <c r="B332" s="18" t="s">
        <v>95</v>
      </c>
      <c r="C332" s="40"/>
      <c r="D332" s="39"/>
      <c r="E332" s="39"/>
      <c r="F332" s="39"/>
      <c r="G332" s="39"/>
      <c r="H332" s="172"/>
      <c r="I332" s="158">
        <f>H335</f>
        <v>2657</v>
      </c>
      <c r="J332" s="158">
        <f ca="1">I335</f>
        <v>0</v>
      </c>
      <c r="K332" s="158">
        <f ca="1">J335</f>
        <v>0</v>
      </c>
      <c r="L332" s="158">
        <f ca="1">K335</f>
        <v>0</v>
      </c>
      <c r="M332" s="158">
        <f ca="1">L335</f>
        <v>0</v>
      </c>
      <c r="N332" s="150"/>
      <c r="O332" s="150"/>
    </row>
    <row r="333" spans="2:16" s="149" customFormat="1" ht="15" customHeight="1" outlineLevel="1">
      <c r="B333" s="18" t="s">
        <v>94</v>
      </c>
      <c r="C333" s="40"/>
      <c r="D333" s="39"/>
      <c r="E333" s="39"/>
      <c r="F333" s="39"/>
      <c r="G333" s="39"/>
      <c r="H333" s="172"/>
      <c r="I333" s="158">
        <f ca="1">-MIN(I321,0)</f>
        <v>0</v>
      </c>
      <c r="J333" s="158">
        <f ca="1">-MIN(J321,0)</f>
        <v>0</v>
      </c>
      <c r="K333" s="158">
        <f ca="1">-MIN(K321,0)</f>
        <v>0</v>
      </c>
      <c r="L333" s="158">
        <f ca="1">-MIN(L321,0)</f>
        <v>0</v>
      </c>
      <c r="M333" s="158">
        <f ca="1">-MIN(M321,0)</f>
        <v>0</v>
      </c>
      <c r="N333" s="150"/>
      <c r="O333" s="150"/>
      <c r="P333" s="4"/>
    </row>
    <row r="334" spans="2:16" s="149" customFormat="1" ht="15" customHeight="1" outlineLevel="1">
      <c r="B334" s="187" t="s">
        <v>93</v>
      </c>
      <c r="C334" s="40"/>
      <c r="D334" s="39"/>
      <c r="E334" s="39"/>
      <c r="F334" s="39"/>
      <c r="G334" s="39"/>
      <c r="H334" s="157"/>
      <c r="I334" s="161">
        <f ca="1">-MIN(I332,I327)*I314</f>
        <v>-2657</v>
      </c>
      <c r="J334" s="161">
        <f ca="1">-MIN(J332,J327)*J314</f>
        <v>0</v>
      </c>
      <c r="K334" s="161">
        <f ca="1">-MIN(K332,K327)*K314</f>
        <v>0</v>
      </c>
      <c r="L334" s="161">
        <f ca="1">-MIN(L332,L327)*L314</f>
        <v>0</v>
      </c>
      <c r="M334" s="161">
        <f ca="1">-MIN(M332,M327)*M314</f>
        <v>0</v>
      </c>
      <c r="N334" s="150"/>
      <c r="O334" s="150"/>
      <c r="P334" s="4"/>
    </row>
    <row r="335" spans="2:16" s="149" customFormat="1" ht="15" customHeight="1" outlineLevel="1">
      <c r="B335" s="18" t="s">
        <v>92</v>
      </c>
      <c r="C335" s="40"/>
      <c r="D335" s="39"/>
      <c r="E335" s="39"/>
      <c r="F335" s="39"/>
      <c r="G335" s="39"/>
      <c r="H335" s="186">
        <f>Inputs!$L$54</f>
        <v>2657</v>
      </c>
      <c r="I335" s="158">
        <f ca="1">SUM(I332:I334)</f>
        <v>0</v>
      </c>
      <c r="J335" s="158">
        <f ca="1">SUM(J332:J334)</f>
        <v>0</v>
      </c>
      <c r="K335" s="158">
        <f ca="1">SUM(K332:K334)</f>
        <v>0</v>
      </c>
      <c r="L335" s="158">
        <f ca="1">SUM(L332:L334)</f>
        <v>0</v>
      </c>
      <c r="M335" s="158">
        <f ca="1">SUM(M332:M334)</f>
        <v>0</v>
      </c>
      <c r="N335" s="3"/>
      <c r="O335" s="3"/>
      <c r="P335" s="4"/>
    </row>
    <row r="336" spans="2:16" s="149" customFormat="1" ht="15" customHeight="1" outlineLevel="1">
      <c r="B336" s="41"/>
      <c r="C336" s="40"/>
      <c r="D336" s="39"/>
      <c r="E336" s="39"/>
      <c r="F336" s="39"/>
      <c r="G336" s="39"/>
      <c r="H336" s="172"/>
      <c r="I336" s="172"/>
      <c r="J336" s="172"/>
      <c r="K336" s="172"/>
      <c r="L336" s="172"/>
      <c r="M336" s="172"/>
      <c r="N336" s="150"/>
      <c r="O336" s="150"/>
    </row>
    <row r="337" spans="1:16" s="149" customFormat="1" ht="15" customHeight="1" outlineLevel="1">
      <c r="B337" s="185"/>
      <c r="C337" s="184"/>
      <c r="D337" s="183"/>
      <c r="E337" s="183"/>
      <c r="F337" s="183"/>
      <c r="G337" s="183"/>
      <c r="H337" s="182"/>
      <c r="I337" s="182"/>
      <c r="J337" s="182"/>
      <c r="K337" s="182"/>
      <c r="L337" s="182"/>
      <c r="M337" s="182"/>
      <c r="N337" s="150"/>
      <c r="O337" s="150"/>
    </row>
    <row r="338" spans="1:16" s="149" customFormat="1" ht="15" customHeight="1" outlineLevel="1">
      <c r="B338" s="41"/>
      <c r="C338" s="40"/>
      <c r="D338" s="39"/>
      <c r="E338" s="39"/>
      <c r="F338" s="39"/>
      <c r="G338" s="39"/>
      <c r="H338" s="172"/>
      <c r="I338" s="172"/>
      <c r="J338" s="172"/>
      <c r="K338" s="172"/>
      <c r="L338" s="172"/>
      <c r="M338" s="172"/>
      <c r="N338" s="150"/>
      <c r="O338" s="150"/>
    </row>
    <row r="339" spans="1:16" s="149" customFormat="1" ht="15" customHeight="1" outlineLevel="1">
      <c r="B339" s="160" t="s">
        <v>91</v>
      </c>
      <c r="C339" s="40"/>
      <c r="D339" s="39"/>
      <c r="E339" s="39"/>
      <c r="F339" s="39"/>
      <c r="G339" s="39"/>
      <c r="H339" s="172"/>
      <c r="I339" s="172"/>
      <c r="J339" s="172"/>
      <c r="K339" s="172"/>
      <c r="L339" s="172"/>
      <c r="M339" s="172"/>
      <c r="N339" s="150"/>
      <c r="O339" s="150"/>
    </row>
    <row r="340" spans="1:16" s="149" customFormat="1" ht="15" customHeight="1" outlineLevel="1">
      <c r="B340" s="18" t="s">
        <v>90</v>
      </c>
      <c r="C340" s="40"/>
      <c r="D340" s="39"/>
      <c r="E340" s="39"/>
      <c r="F340" s="181"/>
      <c r="G340" s="181"/>
      <c r="H340" s="158"/>
      <c r="I340" s="158">
        <f ca="1">$D$316*I329</f>
        <v>2865.5128840733987</v>
      </c>
      <c r="J340" s="158">
        <f ca="1">$D$316*J329</f>
        <v>3309.4293564673558</v>
      </c>
      <c r="K340" s="158">
        <f ca="1">$D$316*K329</f>
        <v>3507.7533464856965</v>
      </c>
      <c r="L340" s="158">
        <f ca="1">$D$316*L329</f>
        <v>3660.4393384599484</v>
      </c>
      <c r="M340" s="158">
        <f ca="1">$D$316*M329</f>
        <v>3683.7653756179884</v>
      </c>
    </row>
    <row r="341" spans="1:16" s="149" customFormat="1" ht="15" customHeight="1" outlineLevel="1">
      <c r="B341" s="18" t="s">
        <v>89</v>
      </c>
      <c r="C341" s="40"/>
      <c r="D341" s="39"/>
      <c r="E341" s="39"/>
      <c r="F341" s="39"/>
      <c r="G341" s="39"/>
      <c r="H341" s="172"/>
      <c r="I341" s="158">
        <f ca="1">I342-I340</f>
        <v>1529.8387499999999</v>
      </c>
      <c r="J341" s="158">
        <f ca="1">J342-J340</f>
        <v>869.96137499999941</v>
      </c>
      <c r="K341" s="158">
        <f ca="1">K342-K340</f>
        <v>677.00998124999978</v>
      </c>
      <c r="L341" s="158">
        <f ca="1">L342-L340</f>
        <v>499.13567156249928</v>
      </c>
      <c r="M341" s="158">
        <f ca="1">M342-M340</f>
        <v>337.84563332812377</v>
      </c>
    </row>
    <row r="342" spans="1:16" s="149" customFormat="1" ht="15" customHeight="1" outlineLevel="1" thickBot="1">
      <c r="B342" s="18" t="s">
        <v>88</v>
      </c>
      <c r="C342" s="40"/>
      <c r="D342" s="39"/>
      <c r="E342" s="39"/>
      <c r="F342" s="39"/>
      <c r="G342" s="39"/>
      <c r="H342" s="172"/>
      <c r="I342" s="180">
        <f ca="1">MAX($D$316*I321,0)</f>
        <v>4395.3516340733986</v>
      </c>
      <c r="J342" s="180">
        <f ca="1">MAX($D$316*J321,0)</f>
        <v>4179.3907314673552</v>
      </c>
      <c r="K342" s="180">
        <f ca="1">MAX($D$316*K321,0)</f>
        <v>4184.7633277356963</v>
      </c>
      <c r="L342" s="180">
        <f ca="1">MAX($D$316*L321,0)</f>
        <v>4159.5750100224477</v>
      </c>
      <c r="M342" s="180">
        <f ca="1">MAX($D$316*M321,0)</f>
        <v>4021.6110089461122</v>
      </c>
    </row>
    <row r="343" spans="1:16" s="149" customFormat="1" ht="15" customHeight="1" outlineLevel="1">
      <c r="B343" s="41"/>
      <c r="C343" s="40"/>
      <c r="D343" s="39"/>
      <c r="E343" s="39"/>
      <c r="F343" s="39"/>
      <c r="G343" s="39"/>
      <c r="H343" s="39"/>
      <c r="I343" s="159"/>
      <c r="J343" s="159"/>
      <c r="K343" s="159"/>
      <c r="L343" s="159"/>
      <c r="M343" s="159"/>
      <c r="N343" s="3"/>
      <c r="O343" s="3"/>
    </row>
    <row r="344" spans="1:16" s="7" customFormat="1" ht="15" customHeight="1" outlineLevel="1">
      <c r="B344" s="21"/>
      <c r="C344" s="21"/>
      <c r="D344" s="8"/>
      <c r="E344" s="8"/>
      <c r="F344" s="150"/>
      <c r="G344" s="150"/>
      <c r="H344" s="150"/>
      <c r="I344" s="179"/>
      <c r="J344" s="179"/>
      <c r="K344" s="179"/>
      <c r="L344" s="179"/>
      <c r="M344" s="178"/>
      <c r="N344" s="177"/>
      <c r="O344" s="177"/>
      <c r="P344" s="3"/>
    </row>
    <row r="345" spans="1:16" s="149" customFormat="1" ht="15" customHeight="1" outlineLevel="1">
      <c r="C345" s="40"/>
      <c r="D345" s="39"/>
      <c r="E345" s="39"/>
      <c r="F345" s="39"/>
      <c r="G345" s="39"/>
      <c r="H345" s="39"/>
      <c r="I345" s="159"/>
      <c r="J345" s="159"/>
      <c r="K345" s="159"/>
      <c r="L345" s="159"/>
      <c r="M345" s="176" t="s">
        <v>87</v>
      </c>
      <c r="N345" s="3"/>
      <c r="O345" s="3"/>
      <c r="P345" s="121"/>
    </row>
    <row r="346" spans="1:16" s="149" customFormat="1" ht="15" customHeight="1" outlineLevel="1">
      <c r="C346" s="40"/>
      <c r="D346" s="39"/>
      <c r="E346" s="39"/>
      <c r="F346" s="39"/>
      <c r="G346" s="39"/>
      <c r="H346" s="39"/>
      <c r="I346" s="159"/>
      <c r="J346" s="159"/>
      <c r="K346" s="159"/>
      <c r="L346" s="159"/>
      <c r="M346" s="175" t="s">
        <v>86</v>
      </c>
      <c r="N346" s="3"/>
      <c r="O346" s="3"/>
      <c r="P346" s="121"/>
    </row>
    <row r="347" spans="1:16" s="149" customFormat="1" ht="15" customHeight="1" outlineLevel="1">
      <c r="C347" s="40"/>
      <c r="D347" s="39"/>
      <c r="E347" s="39"/>
      <c r="F347" s="39"/>
      <c r="G347" s="39"/>
      <c r="H347" s="39"/>
      <c r="I347" s="159"/>
      <c r="J347" s="159"/>
      <c r="K347" s="159"/>
      <c r="L347" s="159"/>
      <c r="M347" s="174"/>
      <c r="N347" s="3"/>
      <c r="O347" s="3"/>
    </row>
    <row r="348" spans="1:16" s="149" customFormat="1" ht="15" customHeight="1" outlineLevel="1">
      <c r="B348" s="154"/>
      <c r="C348" s="153"/>
      <c r="D348" s="152"/>
      <c r="E348" s="152"/>
      <c r="F348" s="152"/>
      <c r="G348" s="152"/>
      <c r="H348" s="152"/>
      <c r="I348" s="151"/>
      <c r="J348" s="151"/>
      <c r="K348" s="151"/>
      <c r="L348" s="151"/>
      <c r="M348" s="151"/>
      <c r="N348" s="150"/>
      <c r="O348" s="150"/>
    </row>
    <row r="349" spans="1:16" s="149" customFormat="1" ht="15" customHeight="1">
      <c r="B349" s="41"/>
      <c r="C349" s="40"/>
      <c r="D349" s="39"/>
      <c r="E349" s="39"/>
      <c r="F349" s="39"/>
      <c r="G349" s="39"/>
      <c r="H349" s="39"/>
      <c r="I349" s="159"/>
      <c r="J349" s="159"/>
      <c r="K349" s="159"/>
      <c r="L349" s="159"/>
      <c r="M349" s="159"/>
      <c r="N349" s="150"/>
      <c r="O349" s="150"/>
    </row>
    <row r="350" spans="1:16" s="149" customFormat="1" ht="15" customHeight="1">
      <c r="A350" s="149" t="s">
        <v>0</v>
      </c>
      <c r="B350" s="45" t="s">
        <v>85</v>
      </c>
      <c r="C350" s="44"/>
      <c r="D350" s="169"/>
      <c r="E350" s="169"/>
      <c r="F350" s="42"/>
      <c r="G350" s="42"/>
      <c r="H350" s="42"/>
      <c r="I350" s="168"/>
      <c r="J350" s="167"/>
      <c r="K350" s="167"/>
      <c r="L350" s="167"/>
      <c r="M350" s="167"/>
      <c r="N350" s="164"/>
      <c r="O350" s="164"/>
      <c r="P350" s="166"/>
    </row>
    <row r="351" spans="1:16" s="149" customFormat="1" ht="15" customHeight="1" outlineLevel="1">
      <c r="B351" s="147"/>
      <c r="C351" s="40"/>
      <c r="D351" s="146"/>
      <c r="E351" s="146"/>
      <c r="F351" s="145"/>
      <c r="G351" s="145"/>
      <c r="H351" s="145"/>
      <c r="I351" s="145"/>
      <c r="J351" s="145"/>
      <c r="K351" s="145"/>
      <c r="L351" s="145"/>
      <c r="M351" s="145"/>
      <c r="N351" s="164"/>
      <c r="O351" s="164"/>
    </row>
    <row r="352" spans="1:16" s="149" customFormat="1" ht="15" customHeight="1" outlineLevel="1" thickBot="1">
      <c r="B352" s="41" t="s">
        <v>15</v>
      </c>
      <c r="C352" s="40"/>
      <c r="D352" s="39"/>
      <c r="E352" s="39"/>
      <c r="F352" s="39"/>
      <c r="G352" s="39"/>
      <c r="H352" s="165">
        <f t="shared" ref="H352:M352" si="44">H$5</f>
        <v>2022</v>
      </c>
      <c r="I352" s="105">
        <f t="shared" si="44"/>
        <v>2023</v>
      </c>
      <c r="J352" s="105">
        <f t="shared" si="44"/>
        <v>2024</v>
      </c>
      <c r="K352" s="105">
        <f t="shared" si="44"/>
        <v>2025</v>
      </c>
      <c r="L352" s="105">
        <f t="shared" si="44"/>
        <v>2026</v>
      </c>
      <c r="M352" s="105">
        <f t="shared" si="44"/>
        <v>2027</v>
      </c>
      <c r="N352" s="164"/>
      <c r="O352" s="164"/>
      <c r="P352" s="3"/>
    </row>
    <row r="353" spans="1:22" ht="15" customHeight="1" outlineLevel="1">
      <c r="A353" s="7"/>
      <c r="B353" s="41" t="str">
        <f>B$6</f>
        <v>Model Running: Base Case Drivers</v>
      </c>
      <c r="C353" s="40"/>
      <c r="D353" s="39"/>
      <c r="E353" s="39"/>
      <c r="F353" s="39"/>
      <c r="G353" s="39"/>
      <c r="H353" s="39"/>
      <c r="I353" s="159"/>
      <c r="J353" s="159"/>
      <c r="K353" s="159"/>
      <c r="L353" s="159"/>
      <c r="M353" s="159"/>
      <c r="P353" s="3"/>
    </row>
    <row r="354" spans="1:22" s="149" customFormat="1" ht="15" customHeight="1" outlineLevel="1">
      <c r="B354" s="41"/>
      <c r="C354" s="40"/>
      <c r="D354" s="39"/>
      <c r="E354" s="39"/>
      <c r="F354" s="39"/>
      <c r="G354" s="39"/>
      <c r="H354" s="39"/>
      <c r="I354" s="159"/>
      <c r="J354" s="159"/>
      <c r="K354" s="159"/>
      <c r="L354" s="159"/>
      <c r="M354" s="159"/>
      <c r="N354" s="150"/>
      <c r="O354" s="150"/>
    </row>
    <row r="355" spans="1:22" s="149" customFormat="1" ht="15" customHeight="1" outlineLevel="1">
      <c r="B355" s="41"/>
      <c r="C355" s="40"/>
      <c r="D355" s="39"/>
      <c r="E355" s="39"/>
      <c r="F355" s="39"/>
      <c r="G355" s="39"/>
      <c r="H355" s="39"/>
      <c r="I355" s="159"/>
      <c r="J355" s="159"/>
      <c r="K355" s="159"/>
      <c r="L355" s="159"/>
      <c r="M355" s="159"/>
      <c r="N355" s="150"/>
      <c r="O355" s="150"/>
    </row>
    <row r="356" spans="1:22" ht="15" customHeight="1" outlineLevel="1">
      <c r="B356" s="160" t="s">
        <v>84</v>
      </c>
      <c r="C356" s="40"/>
      <c r="D356" s="39"/>
      <c r="E356" s="39"/>
      <c r="F356" s="39"/>
      <c r="G356" s="39"/>
      <c r="H356" s="39"/>
      <c r="I356" s="159"/>
      <c r="J356" s="159"/>
      <c r="K356" s="159"/>
      <c r="L356" s="159"/>
      <c r="M356" s="159"/>
    </row>
    <row r="357" spans="1:22" ht="15" customHeight="1" outlineLevel="1" thickBot="1">
      <c r="B357" s="160"/>
      <c r="C357" s="40"/>
      <c r="D357" s="39"/>
      <c r="E357" s="39"/>
      <c r="F357" s="39"/>
      <c r="G357" s="39"/>
      <c r="H357" s="39"/>
      <c r="I357" s="159"/>
      <c r="J357" s="159"/>
      <c r="K357" s="159"/>
      <c r="L357" s="159"/>
      <c r="M357" s="159"/>
      <c r="P357" s="52" t="s">
        <v>19</v>
      </c>
      <c r="Q357" s="51" t="s">
        <v>18</v>
      </c>
      <c r="R357" s="50" t="s">
        <v>17</v>
      </c>
    </row>
    <row r="358" spans="1:22" ht="15" customHeight="1" outlineLevel="1">
      <c r="B358" s="18" t="s">
        <v>63</v>
      </c>
      <c r="C358" s="40"/>
      <c r="D358" s="39"/>
      <c r="E358" s="39"/>
      <c r="F358" s="39"/>
      <c r="G358" s="39"/>
      <c r="H358" s="158"/>
      <c r="I358" s="155">
        <f>Model!H359</f>
        <v>8409.9990999999991</v>
      </c>
      <c r="J358" s="155">
        <f ca="1">Model!I359</f>
        <v>0</v>
      </c>
      <c r="K358" s="155">
        <f ca="1">Model!J359</f>
        <v>0</v>
      </c>
      <c r="L358" s="155">
        <f ca="1">Model!K359</f>
        <v>0</v>
      </c>
      <c r="M358" s="155">
        <f ca="1">Model!L359</f>
        <v>648.00171731224509</v>
      </c>
      <c r="P358" s="373">
        <f ca="1">SUM(Model!I357:M357)</f>
        <v>9058.0008173122442</v>
      </c>
      <c r="Q358" s="372">
        <f ca="1">SUM(I358:M358)</f>
        <v>9058.0008173122442</v>
      </c>
      <c r="R358" s="371" cm="1">
        <f t="array" aca="1" ref="R358" ca="1">IF(SUM(ISBLANK(Model!I357:M357)*1)&gt;0,0,IF(P358=Q358,1,0))</f>
        <v>1</v>
      </c>
    </row>
    <row r="359" spans="1:22" ht="15" customHeight="1" outlineLevel="1">
      <c r="B359" s="18" t="s">
        <v>43</v>
      </c>
      <c r="C359" s="40"/>
      <c r="D359" s="39"/>
      <c r="E359" s="39"/>
      <c r="F359" s="39"/>
      <c r="G359" s="39"/>
      <c r="H359" s="157"/>
      <c r="I359" s="156">
        <f ca="1">Model!I69</f>
        <v>-8409.9990999999973</v>
      </c>
      <c r="J359" s="156">
        <f ca="1">Model!J69</f>
        <v>0</v>
      </c>
      <c r="K359" s="156">
        <f ca="1">Model!K69</f>
        <v>0</v>
      </c>
      <c r="L359" s="156">
        <f ca="1">Model!L69</f>
        <v>648.00171731224509</v>
      </c>
      <c r="M359" s="156">
        <f ca="1">Model!M69</f>
        <v>2370.2413794863014</v>
      </c>
      <c r="P359" s="373">
        <f ca="1">SUM(Model!I358:M358)</f>
        <v>-5391.7560032014508</v>
      </c>
      <c r="Q359" s="372">
        <f ca="1">SUM(I359:M359)</f>
        <v>-5391.7560032014508</v>
      </c>
      <c r="R359" s="371" cm="1">
        <f t="array" aca="1" ref="R359" ca="1">IF(SUM(ISBLANK(Model!I358:M358)*1)&gt;0,0,IF(P359=Q359,1,0))</f>
        <v>1</v>
      </c>
    </row>
    <row r="360" spans="1:22" ht="15" customHeight="1" outlineLevel="1">
      <c r="B360" s="18" t="s">
        <v>61</v>
      </c>
      <c r="C360" s="40"/>
      <c r="D360" s="39"/>
      <c r="E360" s="39"/>
      <c r="F360" s="39"/>
      <c r="G360" s="39"/>
      <c r="H360" s="155">
        <f>Model!H81</f>
        <v>8409.9990999999991</v>
      </c>
      <c r="I360" s="155">
        <f ca="1">SUM(Model!I357:I358)</f>
        <v>0</v>
      </c>
      <c r="J360" s="155">
        <f ca="1">SUM(Model!J357:J358)</f>
        <v>0</v>
      </c>
      <c r="K360" s="155">
        <f ca="1">SUM(Model!K357:K358)</f>
        <v>0</v>
      </c>
      <c r="L360" s="155">
        <f ca="1">SUM(Model!L357:L358)</f>
        <v>648.00171731224509</v>
      </c>
      <c r="M360" s="155">
        <f ca="1">SUM(Model!M357:M358)</f>
        <v>3018.2430967985465</v>
      </c>
      <c r="P360" s="370">
        <f ca="1">SUM(Model!H359:M359)</f>
        <v>12076.24391411079</v>
      </c>
      <c r="Q360" s="369">
        <f ca="1">SUM(H360:M360)</f>
        <v>12076.24391411079</v>
      </c>
      <c r="R360" s="368" cm="1">
        <f t="array" aca="1" ref="R360" ca="1">IF(SUM(ISBLANK(Model!H359:M359)*1)&gt;0,0,IF(P360=Q360,1,0))</f>
        <v>1</v>
      </c>
    </row>
    <row r="361" spans="1:22" ht="15" customHeight="1" outlineLevel="1"/>
    <row r="362" spans="1:22" ht="15" customHeight="1" outlineLevel="1" thickBot="1">
      <c r="B362" s="18" t="s">
        <v>72</v>
      </c>
      <c r="C362" s="40"/>
      <c r="D362" s="39"/>
      <c r="E362" s="39"/>
      <c r="F362" s="173" t="s">
        <v>1</v>
      </c>
      <c r="G362" s="39"/>
      <c r="H362" s="172"/>
      <c r="I362" s="163">
        <f>Inputs!$F$60</f>
        <v>0.01</v>
      </c>
      <c r="J362" s="163">
        <f>I362</f>
        <v>0.01</v>
      </c>
      <c r="K362" s="163">
        <f>J362</f>
        <v>0.01</v>
      </c>
      <c r="L362" s="163">
        <f>K362</f>
        <v>0.01</v>
      </c>
      <c r="M362" s="163">
        <f>L362</f>
        <v>0.01</v>
      </c>
      <c r="P362" s="52" t="s">
        <v>19</v>
      </c>
      <c r="Q362" s="51" t="s">
        <v>18</v>
      </c>
      <c r="R362" s="50" t="s">
        <v>17</v>
      </c>
      <c r="T362" s="52" t="s">
        <v>19</v>
      </c>
      <c r="U362" s="51" t="s">
        <v>18</v>
      </c>
      <c r="V362" s="50" t="s">
        <v>17</v>
      </c>
    </row>
    <row r="363" spans="1:22" ht="15" customHeight="1" outlineLevel="1">
      <c r="B363" s="18" t="s">
        <v>83</v>
      </c>
      <c r="F363" s="171" t="e">
        <f>#REF!</f>
        <v>#REF!</v>
      </c>
      <c r="I363" s="155">
        <f>IF(Model!$F$362=1,AVERAGE(Model!I359,Model!I357)*Model!I361,Model!I357*Model!I361)</f>
        <v>84.099990999999989</v>
      </c>
      <c r="J363" s="155">
        <f ca="1">IF(Model!$F$362=1,AVERAGE(Model!J359,Model!J357)*Model!J361,Model!J357*Model!J361)</f>
        <v>0</v>
      </c>
      <c r="K363" s="155">
        <f ca="1">IF(Model!$F$362=1,AVERAGE(Model!K359,Model!K357)*Model!K361,Model!K357*Model!K361)</f>
        <v>0</v>
      </c>
      <c r="L363" s="155">
        <f ca="1">IF(Model!$F$362=1,AVERAGE(Model!L359,Model!L357)*Model!L361,Model!L357*Model!L361)</f>
        <v>0</v>
      </c>
      <c r="M363" s="155">
        <f ca="1">IF(Model!$F$362=1,AVERAGE(Model!M359,Model!M357)*Model!M361,Model!M357*Model!M361)</f>
        <v>6.4800171731224507</v>
      </c>
      <c r="O363" s="1"/>
      <c r="P363" s="49">
        <f ca="1">SUM(Model!I362:M362)</f>
        <v>63.621228157115176</v>
      </c>
      <c r="Q363" s="48">
        <f ca="1">SUM(I363:M363)</f>
        <v>90.580008173122437</v>
      </c>
      <c r="R363" s="47" cm="1">
        <f t="array" aca="1" ref="R363" ca="1">IF(SUM(ISBLANK(Model!I362:M362)*1)&gt;0,0,IF(P363=Q363,1,0))</f>
        <v>0</v>
      </c>
      <c r="T363" s="49">
        <f>Model!F362</f>
        <v>0</v>
      </c>
      <c r="U363" s="48" t="e">
        <f>F363</f>
        <v>#REF!</v>
      </c>
      <c r="V363" s="47">
        <f>IF(SUM(ISBLANK(Model!F362)*1)&gt;0,0,IF(T363=U363,1,0))</f>
        <v>0</v>
      </c>
    </row>
    <row r="364" spans="1:22" ht="15" customHeight="1" outlineLevel="1"/>
    <row r="365" spans="1:22" ht="15" customHeight="1" outlineLevel="1">
      <c r="B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</row>
    <row r="366" spans="1:22" ht="15" customHeight="1" outlineLevel="1"/>
    <row r="367" spans="1:22" ht="15" customHeight="1" outlineLevel="1"/>
    <row r="368" spans="1:22" ht="15" customHeight="1" outlineLevel="1">
      <c r="B368" s="160" t="s">
        <v>82</v>
      </c>
      <c r="C368" s="40"/>
      <c r="D368" s="39"/>
      <c r="E368" s="39"/>
      <c r="F368" s="39"/>
      <c r="G368" s="39"/>
      <c r="H368" s="39"/>
      <c r="I368" s="159"/>
      <c r="J368" s="159"/>
      <c r="K368" s="159"/>
      <c r="L368" s="159"/>
      <c r="M368" s="159"/>
    </row>
    <row r="369" spans="1:18" ht="15" customHeight="1" outlineLevel="1" thickBot="1">
      <c r="B369" s="160"/>
      <c r="C369" s="40"/>
      <c r="D369" s="39"/>
      <c r="E369" s="39"/>
      <c r="F369" s="39"/>
      <c r="G369" s="39"/>
      <c r="H369" s="39"/>
      <c r="I369" s="159"/>
      <c r="J369" s="159"/>
      <c r="K369" s="159"/>
      <c r="L369" s="159"/>
      <c r="M369" s="159"/>
      <c r="P369" s="52" t="s">
        <v>19</v>
      </c>
      <c r="Q369" s="51" t="s">
        <v>18</v>
      </c>
      <c r="R369" s="50" t="s">
        <v>17</v>
      </c>
    </row>
    <row r="370" spans="1:18" ht="15" customHeight="1" outlineLevel="1">
      <c r="B370" s="18" t="s">
        <v>63</v>
      </c>
      <c r="C370" s="40"/>
      <c r="D370" s="39"/>
      <c r="E370" s="39"/>
      <c r="F370" s="39"/>
      <c r="G370" s="39"/>
      <c r="H370" s="158"/>
      <c r="I370" s="155">
        <f>Model!H371</f>
        <v>20000</v>
      </c>
      <c r="J370" s="155">
        <f>Model!I371</f>
        <v>16000</v>
      </c>
      <c r="K370" s="155">
        <f>Model!J371</f>
        <v>12000</v>
      </c>
      <c r="L370" s="155">
        <f>Model!K371</f>
        <v>8000</v>
      </c>
      <c r="M370" s="155">
        <f>Model!L371</f>
        <v>4000</v>
      </c>
      <c r="P370" s="49">
        <f>SUM(Model!I369:M369)</f>
        <v>60000</v>
      </c>
      <c r="Q370" s="48">
        <f>SUM(I370:M370)</f>
        <v>60000</v>
      </c>
      <c r="R370" s="47" cm="1">
        <f t="array" ref="R370">IF(SUM(ISBLANK(Model!I369:M369)*1)&gt;0,0,IF(P370=Q370,1,0))</f>
        <v>1</v>
      </c>
    </row>
    <row r="371" spans="1:18" ht="15" customHeight="1" outlineLevel="1">
      <c r="B371" s="18" t="s">
        <v>43</v>
      </c>
      <c r="C371" s="40"/>
      <c r="D371" s="39"/>
      <c r="E371" s="39"/>
      <c r="F371" s="39"/>
      <c r="G371" s="39"/>
      <c r="H371" s="157"/>
      <c r="I371" s="161">
        <f>Inputs!H44</f>
        <v>-4000</v>
      </c>
      <c r="J371" s="161">
        <f>Inputs!I44</f>
        <v>-4000</v>
      </c>
      <c r="K371" s="161">
        <f>Inputs!J44</f>
        <v>-4000</v>
      </c>
      <c r="L371" s="161">
        <f>Inputs!K44</f>
        <v>-4000</v>
      </c>
      <c r="M371" s="161">
        <f>Inputs!L44</f>
        <v>-4000</v>
      </c>
    </row>
    <row r="372" spans="1:18" ht="15" customHeight="1" outlineLevel="1">
      <c r="B372" s="18" t="s">
        <v>61</v>
      </c>
      <c r="C372" s="40"/>
      <c r="D372" s="39"/>
      <c r="E372" s="39"/>
      <c r="F372" s="39"/>
      <c r="G372" s="39"/>
      <c r="H372" s="155">
        <f>Model!H99</f>
        <v>20000</v>
      </c>
      <c r="I372" s="155">
        <f>SUM(Model!I369:I370)</f>
        <v>16000</v>
      </c>
      <c r="J372" s="155">
        <f>SUM(Model!J369:J370)</f>
        <v>12000</v>
      </c>
      <c r="K372" s="155">
        <f>SUM(Model!K369:K370)</f>
        <v>8000</v>
      </c>
      <c r="L372" s="155">
        <f>SUM(Model!L369:L370)</f>
        <v>4000</v>
      </c>
      <c r="M372" s="155">
        <f>SUM(Model!M369:M370)</f>
        <v>0</v>
      </c>
      <c r="P372" s="49">
        <f>SUM(Model!H371:M371)</f>
        <v>60000</v>
      </c>
      <c r="Q372" s="48">
        <f>SUM(H372:M372)</f>
        <v>60000</v>
      </c>
      <c r="R372" s="47" cm="1">
        <f t="array" ref="R372">IF(SUM(ISBLANK(Model!H371:M371)*1)&gt;0,0,IF(P372=Q372,1,0))</f>
        <v>1</v>
      </c>
    </row>
    <row r="373" spans="1:18" ht="15" customHeight="1" outlineLevel="1"/>
    <row r="374" spans="1:18" ht="15" customHeight="1" outlineLevel="1">
      <c r="B374" s="18" t="s">
        <v>72</v>
      </c>
      <c r="C374" s="40"/>
      <c r="D374" s="39"/>
      <c r="E374" s="39"/>
      <c r="F374" s="39"/>
      <c r="G374" s="39"/>
      <c r="H374" s="172"/>
      <c r="I374" s="163">
        <f>Inputs!$F$62</f>
        <v>0.06</v>
      </c>
      <c r="J374" s="163">
        <f>I374</f>
        <v>0.06</v>
      </c>
      <c r="K374" s="163">
        <f>J374</f>
        <v>0.06</v>
      </c>
      <c r="L374" s="163">
        <f>K374</f>
        <v>0.06</v>
      </c>
      <c r="M374" s="163">
        <f>L374</f>
        <v>0.06</v>
      </c>
    </row>
    <row r="375" spans="1:18" ht="15" customHeight="1" outlineLevel="1">
      <c r="B375" s="18" t="s">
        <v>71</v>
      </c>
      <c r="I375" s="155">
        <f>AVERAGE(Model!I371,Model!I369)*Model!I373</f>
        <v>1080</v>
      </c>
      <c r="J375" s="155">
        <f>AVERAGE(Model!J371,Model!J369)*Model!J373</f>
        <v>840</v>
      </c>
      <c r="K375" s="155">
        <f>AVERAGE(Model!K371,Model!K369)*Model!K373</f>
        <v>600</v>
      </c>
      <c r="L375" s="155">
        <f>AVERAGE(Model!L371,Model!L369)*Model!L373</f>
        <v>360</v>
      </c>
      <c r="M375" s="155">
        <f>AVERAGE(Model!M371,Model!M369)*Model!M373</f>
        <v>120</v>
      </c>
      <c r="P375" s="49">
        <f>SUM(Model!I374:M374)</f>
        <v>3000</v>
      </c>
      <c r="Q375" s="48">
        <f>SUM(I375:M375)</f>
        <v>3000</v>
      </c>
      <c r="R375" s="47" cm="1">
        <f t="array" ref="R375">IF(SUM(ISBLANK(Model!I374:M374)*1)&gt;0,0,IF(P375=Q375,1,0))</f>
        <v>1</v>
      </c>
    </row>
    <row r="376" spans="1:18" ht="15" customHeight="1" outlineLevel="1"/>
    <row r="377" spans="1:18" ht="15" customHeight="1" outlineLevel="1"/>
    <row r="378" spans="1:18" ht="15" customHeight="1" outlineLevel="1"/>
    <row r="379" spans="1:18" s="149" customFormat="1" ht="15" customHeight="1" outlineLevel="1">
      <c r="B379" s="154"/>
      <c r="C379" s="153"/>
      <c r="D379" s="152"/>
      <c r="E379" s="152"/>
      <c r="F379" s="152"/>
      <c r="G379" s="152"/>
      <c r="H379" s="152"/>
      <c r="I379" s="151"/>
      <c r="J379" s="151"/>
      <c r="K379" s="151"/>
      <c r="L379" s="151"/>
      <c r="M379" s="151"/>
      <c r="N379" s="150"/>
      <c r="O379" s="150"/>
    </row>
    <row r="380" spans="1:18" s="149" customFormat="1" ht="15" customHeight="1">
      <c r="B380" s="41"/>
      <c r="C380" s="40"/>
      <c r="D380" s="39"/>
      <c r="E380" s="39"/>
      <c r="F380" s="39"/>
      <c r="G380" s="39"/>
      <c r="H380" s="39"/>
      <c r="I380" s="159"/>
      <c r="J380" s="159"/>
      <c r="K380" s="159"/>
      <c r="L380" s="159"/>
      <c r="M380" s="159"/>
      <c r="N380" s="150"/>
      <c r="O380" s="150"/>
    </row>
    <row r="381" spans="1:18" s="149" customFormat="1" ht="15" customHeight="1">
      <c r="A381" s="149" t="s">
        <v>0</v>
      </c>
      <c r="B381" s="45" t="s">
        <v>81</v>
      </c>
      <c r="C381" s="44"/>
      <c r="D381" s="169"/>
      <c r="E381" s="169"/>
      <c r="F381" s="42"/>
      <c r="G381" s="42"/>
      <c r="H381" s="42"/>
      <c r="I381" s="168"/>
      <c r="J381" s="167"/>
      <c r="K381" s="167"/>
      <c r="L381" s="167"/>
      <c r="M381" s="167"/>
      <c r="N381" s="164"/>
      <c r="O381" s="164"/>
      <c r="P381" s="166"/>
    </row>
    <row r="382" spans="1:18" s="149" customFormat="1" ht="15" customHeight="1" outlineLevel="1">
      <c r="B382" s="147"/>
      <c r="C382" s="40"/>
      <c r="D382" s="146"/>
      <c r="E382" s="146"/>
      <c r="F382" s="145"/>
      <c r="G382" s="145"/>
      <c r="H382" s="145"/>
      <c r="I382" s="145"/>
      <c r="J382" s="145"/>
      <c r="K382" s="145"/>
      <c r="L382" s="145"/>
      <c r="M382" s="145"/>
      <c r="N382" s="164"/>
      <c r="O382" s="164"/>
    </row>
    <row r="383" spans="1:18" s="149" customFormat="1" ht="15" customHeight="1" outlineLevel="1" thickBot="1">
      <c r="B383" s="41" t="s">
        <v>15</v>
      </c>
      <c r="C383" s="40"/>
      <c r="D383" s="39"/>
      <c r="E383" s="39"/>
      <c r="F383" s="39"/>
      <c r="G383" s="39"/>
      <c r="H383" s="165">
        <f t="shared" ref="H383:M383" si="45">H$5</f>
        <v>2022</v>
      </c>
      <c r="I383" s="105">
        <f t="shared" si="45"/>
        <v>2023</v>
      </c>
      <c r="J383" s="105">
        <f t="shared" si="45"/>
        <v>2024</v>
      </c>
      <c r="K383" s="105">
        <f t="shared" si="45"/>
        <v>2025</v>
      </c>
      <c r="L383" s="105">
        <f t="shared" si="45"/>
        <v>2026</v>
      </c>
      <c r="M383" s="105">
        <f t="shared" si="45"/>
        <v>2027</v>
      </c>
      <c r="N383" s="164"/>
      <c r="O383" s="164"/>
      <c r="P383" s="3"/>
    </row>
    <row r="384" spans="1:18" ht="15" customHeight="1" outlineLevel="1">
      <c r="A384" s="7"/>
      <c r="B384" s="41" t="str">
        <f>B$6</f>
        <v>Model Running: Base Case Drivers</v>
      </c>
      <c r="C384" s="40"/>
      <c r="D384" s="39"/>
      <c r="E384" s="39"/>
      <c r="F384" s="39"/>
      <c r="G384" s="39"/>
      <c r="H384" s="39"/>
      <c r="I384" s="159"/>
      <c r="J384" s="159"/>
      <c r="K384" s="159"/>
      <c r="L384" s="159"/>
      <c r="M384" s="159"/>
      <c r="P384" s="3"/>
    </row>
    <row r="385" spans="1:18" ht="15" customHeight="1" outlineLevel="1">
      <c r="A385" s="7"/>
      <c r="B385" s="41"/>
      <c r="C385" s="40"/>
      <c r="D385" s="39"/>
      <c r="E385" s="39"/>
      <c r="F385" s="39"/>
      <c r="G385" s="39"/>
      <c r="H385" s="39"/>
      <c r="I385" s="159"/>
      <c r="J385" s="159"/>
      <c r="K385" s="159"/>
      <c r="L385" s="159"/>
      <c r="M385" s="159"/>
      <c r="P385" s="3"/>
    </row>
    <row r="386" spans="1:18" ht="15" customHeight="1" outlineLevel="1">
      <c r="A386" s="7"/>
      <c r="B386" s="41"/>
      <c r="C386" s="40"/>
      <c r="D386" s="39"/>
      <c r="E386" s="39"/>
      <c r="F386" s="39"/>
      <c r="G386" s="39"/>
      <c r="H386" s="39"/>
      <c r="I386" s="159"/>
      <c r="J386" s="159"/>
      <c r="K386" s="159"/>
      <c r="L386" s="159"/>
      <c r="M386" s="159"/>
      <c r="P386" s="3"/>
    </row>
    <row r="387" spans="1:18" ht="15" customHeight="1" outlineLevel="1">
      <c r="B387" s="160" t="s">
        <v>80</v>
      </c>
      <c r="C387" s="40"/>
      <c r="H387" s="39"/>
      <c r="I387" s="159"/>
      <c r="J387" s="159"/>
      <c r="K387" s="159"/>
      <c r="L387" s="159"/>
      <c r="M387" s="159"/>
    </row>
    <row r="388" spans="1:18" ht="15" customHeight="1" outlineLevel="1" thickBot="1">
      <c r="B388" s="160"/>
      <c r="C388" s="40"/>
      <c r="H388" s="39"/>
      <c r="I388" s="159"/>
      <c r="J388" s="159"/>
      <c r="K388" s="159"/>
      <c r="L388" s="159"/>
      <c r="M388" s="159"/>
      <c r="P388" s="52" t="s">
        <v>19</v>
      </c>
      <c r="Q388" s="51" t="s">
        <v>18</v>
      </c>
      <c r="R388" s="50" t="s">
        <v>17</v>
      </c>
    </row>
    <row r="389" spans="1:18" ht="15" customHeight="1" outlineLevel="1">
      <c r="B389" s="18" t="s">
        <v>79</v>
      </c>
      <c r="C389" s="40"/>
      <c r="H389" s="158"/>
      <c r="I389" s="155">
        <f>Model!H81</f>
        <v>8409.9990999999991</v>
      </c>
      <c r="J389" s="155">
        <f ca="1">Model!I81</f>
        <v>0</v>
      </c>
      <c r="K389" s="155">
        <f ca="1">Model!J81</f>
        <v>0</v>
      </c>
      <c r="L389" s="155">
        <f ca="1">Model!K81</f>
        <v>0</v>
      </c>
      <c r="M389" s="155">
        <f ca="1">Model!L81</f>
        <v>648.00171731224509</v>
      </c>
      <c r="P389" s="373">
        <f ca="1">SUM(Model!I388:M388)</f>
        <v>9058.0008173122442</v>
      </c>
      <c r="Q389" s="372">
        <f t="shared" ref="Q389:Q395" ca="1" si="46">SUM(I389:M389)</f>
        <v>9058.0008173122442</v>
      </c>
      <c r="R389" s="371" cm="1">
        <f t="array" aca="1" ref="R389" ca="1">IF(SUM(ISBLANK(Model!I388:M388)*1)&gt;0,0,IF(P389=Q389,1,0))</f>
        <v>1</v>
      </c>
    </row>
    <row r="390" spans="1:18" ht="15" customHeight="1" outlineLevel="1">
      <c r="B390" s="18" t="s">
        <v>78</v>
      </c>
      <c r="C390" s="40"/>
      <c r="D390" s="39"/>
      <c r="E390" s="39"/>
      <c r="F390" s="39"/>
      <c r="G390" s="39"/>
      <c r="H390" s="158"/>
      <c r="I390" s="155">
        <f ca="1">Model!I51</f>
        <v>16587.331861020353</v>
      </c>
      <c r="J390" s="155">
        <f ca="1">Model!J51</f>
        <v>16680.396342495853</v>
      </c>
      <c r="K390" s="155">
        <f ca="1">Model!K51</f>
        <v>16856.460466188822</v>
      </c>
      <c r="L390" s="155">
        <f ca="1">Model!L51</f>
        <v>17009.384942480039</v>
      </c>
      <c r="M390" s="155">
        <f ca="1">Model!M51</f>
        <v>16934.493183661154</v>
      </c>
      <c r="P390" s="373">
        <f ca="1">SUM(Model!I389:M389)</f>
        <v>84068.066795846215</v>
      </c>
      <c r="Q390" s="372">
        <f t="shared" ca="1" si="46"/>
        <v>84068.066795846215</v>
      </c>
      <c r="R390" s="371" cm="1">
        <f t="array" aca="1" ref="R390" ca="1">IF(SUM(ISBLANK(Model!I389:M389)*1)&gt;0,0,IF(P390=Q390,1,0))</f>
        <v>1</v>
      </c>
    </row>
    <row r="391" spans="1:18" ht="15" customHeight="1" outlineLevel="1">
      <c r="B391" s="18" t="s">
        <v>77</v>
      </c>
      <c r="C391" s="40"/>
      <c r="D391" s="39"/>
      <c r="E391" s="39"/>
      <c r="F391" s="39"/>
      <c r="G391" s="39"/>
      <c r="H391" s="158"/>
      <c r="I391" s="155">
        <f>Model!I56</f>
        <v>-25475</v>
      </c>
      <c r="J391" s="155">
        <f>Model!J56</f>
        <v>-7050</v>
      </c>
      <c r="K391" s="155">
        <f>Model!K56</f>
        <v>-7275</v>
      </c>
      <c r="L391" s="155">
        <f>Model!L56</f>
        <v>-7200</v>
      </c>
      <c r="M391" s="155">
        <f>Model!M56</f>
        <v>-7687.5</v>
      </c>
      <c r="P391" s="373">
        <f>SUM(Model!I390:M390)</f>
        <v>-54687.5</v>
      </c>
      <c r="Q391" s="372">
        <f t="shared" si="46"/>
        <v>-54687.5</v>
      </c>
      <c r="R391" s="371" cm="1">
        <f t="array" ref="R391">IF(SUM(ISBLANK(Model!I390:M390)*1)&gt;0,0,IF(P391=Q391,1,0))</f>
        <v>1</v>
      </c>
    </row>
    <row r="392" spans="1:18" ht="15" customHeight="1" outlineLevel="1">
      <c r="B392" s="18" t="s">
        <v>76</v>
      </c>
      <c r="I392" s="155">
        <f>Model!I370</f>
        <v>-4000</v>
      </c>
      <c r="J392" s="155">
        <f>Model!J370</f>
        <v>-4000</v>
      </c>
      <c r="K392" s="155">
        <f>Model!K370</f>
        <v>-4000</v>
      </c>
      <c r="L392" s="155">
        <f>Model!L370</f>
        <v>-4000</v>
      </c>
      <c r="M392" s="155">
        <f>Model!M370</f>
        <v>-4000</v>
      </c>
      <c r="P392" s="373">
        <f>SUM(Model!I391:M391)</f>
        <v>-20000</v>
      </c>
      <c r="Q392" s="372">
        <f t="shared" si="46"/>
        <v>-20000</v>
      </c>
      <c r="R392" s="371" cm="1">
        <f t="array" ref="R392">IF(SUM(ISBLANK(Model!I391:M391)*1)&gt;0,0,IF(P392=Q392,1,0))</f>
        <v>1</v>
      </c>
    </row>
    <row r="393" spans="1:18" ht="15" customHeight="1" outlineLevel="1">
      <c r="B393" s="18" t="s">
        <v>75</v>
      </c>
      <c r="I393" s="155">
        <f>Model!I427</f>
        <v>-1000</v>
      </c>
      <c r="J393" s="155">
        <f>Model!J427</f>
        <v>-1000</v>
      </c>
      <c r="K393" s="155">
        <f>Model!K427</f>
        <v>-1000</v>
      </c>
      <c r="L393" s="155">
        <f>Model!L427</f>
        <v>-1000</v>
      </c>
      <c r="M393" s="155">
        <f>Model!M427</f>
        <v>-1000</v>
      </c>
      <c r="P393" s="373">
        <f>SUM(Model!I392:M392)</f>
        <v>-5000</v>
      </c>
      <c r="Q393" s="372">
        <f t="shared" si="46"/>
        <v>-5000</v>
      </c>
      <c r="R393" s="371" cm="1">
        <f t="array" ref="R393">IF(SUM(ISBLANK(Model!I392:M392)*1)&gt;0,0,IF(P393=Q393,1,0))</f>
        <v>1</v>
      </c>
    </row>
    <row r="394" spans="1:18" ht="15" customHeight="1" outlineLevel="1">
      <c r="B394" s="18" t="s">
        <v>62</v>
      </c>
      <c r="I394" s="156">
        <f ca="1">-Model!I432</f>
        <v>-2051.1640959009196</v>
      </c>
      <c r="J394" s="156">
        <f ca="1">-Model!J432</f>
        <v>-1950.3823413514328</v>
      </c>
      <c r="K394" s="156">
        <f ca="1">-Model!K432</f>
        <v>-1952.8895529433248</v>
      </c>
      <c r="L394" s="156">
        <f ca="1">-Model!L432</f>
        <v>-1941.1350046771427</v>
      </c>
      <c r="M394" s="156">
        <f ca="1">-Model!M432</f>
        <v>-1876.7518041748526</v>
      </c>
      <c r="P394" s="373">
        <f ca="1">SUM(Model!I393:M393)</f>
        <v>-9772.3227990476735</v>
      </c>
      <c r="Q394" s="372">
        <f t="shared" ca="1" si="46"/>
        <v>-9772.3227990476735</v>
      </c>
      <c r="R394" s="371" cm="1">
        <f t="array" aca="1" ref="R394" ca="1">IF(SUM(ISBLANK(Model!I393:M393)*1)&gt;0,0,IF(P394=Q394,1,0))</f>
        <v>1</v>
      </c>
    </row>
    <row r="395" spans="1:18" ht="15" customHeight="1" outlineLevel="1">
      <c r="B395" s="18" t="s">
        <v>74</v>
      </c>
      <c r="I395" s="155">
        <f ca="1">SUM(Model!I388:I393)</f>
        <v>-7528.8331348805696</v>
      </c>
      <c r="J395" s="155">
        <f ca="1">SUM(Model!J388:J393)</f>
        <v>2680.01400114442</v>
      </c>
      <c r="K395" s="155">
        <f ca="1">SUM(Model!K388:K393)</f>
        <v>2628.5709132454976</v>
      </c>
      <c r="L395" s="155">
        <f ca="1">SUM(Model!L388:L393)</f>
        <v>2868.2499378028965</v>
      </c>
      <c r="M395" s="155">
        <f ca="1">SUM(Model!M388:M393)</f>
        <v>3018.2430967985447</v>
      </c>
      <c r="P395" s="370">
        <f ca="1">SUM(Model!I394:M394)</f>
        <v>3666.2448141107893</v>
      </c>
      <c r="Q395" s="369">
        <f t="shared" ca="1" si="46"/>
        <v>3666.2448141107893</v>
      </c>
      <c r="R395" s="368" cm="1">
        <f t="array" aca="1" ref="R395" ca="1">IF(SUM(ISBLANK(Model!I394:M394)*1)&gt;0,0,IF(P395=Q395,1,0))</f>
        <v>1</v>
      </c>
    </row>
    <row r="396" spans="1:18" ht="15" customHeight="1" outlineLevel="1"/>
    <row r="397" spans="1:18" ht="15" customHeight="1" outlineLevel="1">
      <c r="B397" s="5"/>
      <c r="C397" s="5"/>
      <c r="D397" s="5"/>
      <c r="E397" s="5"/>
      <c r="F397" s="5"/>
      <c r="G397" s="5"/>
      <c r="H397" s="5"/>
      <c r="I397" s="5"/>
      <c r="J397" s="5"/>
      <c r="K397" s="5"/>
      <c r="L397" s="5"/>
      <c r="M397" s="5"/>
    </row>
    <row r="398" spans="1:18" ht="15" customHeight="1" outlineLevel="1"/>
    <row r="399" spans="1:18" ht="15" customHeight="1" outlineLevel="1"/>
    <row r="400" spans="1:18" ht="15" customHeight="1" outlineLevel="1">
      <c r="B400" s="160" t="s">
        <v>73</v>
      </c>
      <c r="C400" s="40"/>
      <c r="H400" s="39"/>
      <c r="I400" s="159"/>
      <c r="J400" s="159"/>
      <c r="K400" s="159"/>
      <c r="L400" s="159"/>
      <c r="M400" s="159"/>
    </row>
    <row r="401" spans="1:22" ht="15" customHeight="1" outlineLevel="1" thickBot="1">
      <c r="B401" s="160"/>
      <c r="C401" s="40"/>
      <c r="H401" s="39"/>
      <c r="I401" s="159"/>
      <c r="J401" s="159"/>
      <c r="K401" s="159"/>
      <c r="L401" s="159"/>
      <c r="M401" s="159"/>
      <c r="P401" s="52" t="s">
        <v>19</v>
      </c>
      <c r="Q401" s="51" t="s">
        <v>18</v>
      </c>
      <c r="R401" s="50" t="s">
        <v>17</v>
      </c>
    </row>
    <row r="402" spans="1:22" ht="15" customHeight="1" outlineLevel="1">
      <c r="B402" s="18" t="s">
        <v>63</v>
      </c>
      <c r="C402" s="40"/>
      <c r="D402" s="39"/>
      <c r="E402" s="39"/>
      <c r="F402" s="39"/>
      <c r="G402" s="39"/>
      <c r="H402" s="158"/>
      <c r="I402" s="155">
        <f>Model!H403</f>
        <v>0</v>
      </c>
      <c r="J402" s="155">
        <f ca="1">Model!I403</f>
        <v>7528.8331348805696</v>
      </c>
      <c r="K402" s="155">
        <f ca="1">Model!J403</f>
        <v>4848.8191337361495</v>
      </c>
      <c r="L402" s="155">
        <f ca="1">Model!K403</f>
        <v>2220.2482204906519</v>
      </c>
      <c r="M402" s="155">
        <f ca="1">Model!L403</f>
        <v>0</v>
      </c>
      <c r="P402" s="373">
        <f ca="1">SUM(Model!I401:M401)</f>
        <v>14597.900489107371</v>
      </c>
      <c r="Q402" s="372">
        <f ca="1">SUM(I402:M402)</f>
        <v>14597.900489107371</v>
      </c>
      <c r="R402" s="371" cm="1">
        <f t="array" aca="1" ref="R402" ca="1">IF(SUM(ISBLANK(Model!I401:M401)*1)&gt;0,0,IF(P402=Q402,1,0))</f>
        <v>1</v>
      </c>
    </row>
    <row r="403" spans="1:22" ht="15" customHeight="1" outlineLevel="1">
      <c r="B403" s="18" t="s">
        <v>43</v>
      </c>
      <c r="C403" s="40"/>
      <c r="D403" s="39"/>
      <c r="E403" s="39"/>
      <c r="F403" s="39"/>
      <c r="G403" s="39"/>
      <c r="H403" s="157"/>
      <c r="I403" s="156">
        <f ca="1">-MIN(Model!I394,Model!I401)</f>
        <v>7528.8331348805696</v>
      </c>
      <c r="J403" s="156">
        <f ca="1">-MIN(Model!J394,Model!J401)</f>
        <v>-2680.01400114442</v>
      </c>
      <c r="K403" s="156">
        <f ca="1">-MIN(Model!K394,Model!K401)</f>
        <v>-2628.5709132454976</v>
      </c>
      <c r="L403" s="156">
        <f ca="1">-MIN(Model!L394,Model!L401)</f>
        <v>-2220.2482204906519</v>
      </c>
      <c r="M403" s="156">
        <f ca="1">-MIN(Model!M394,Model!M401)</f>
        <v>0</v>
      </c>
      <c r="P403" s="373">
        <f ca="1">SUM(Model!I402:M402)</f>
        <v>0</v>
      </c>
      <c r="Q403" s="372">
        <f ca="1">SUM(I403:M403)</f>
        <v>0</v>
      </c>
      <c r="R403" s="371" cm="1">
        <f t="array" aca="1" ref="R403" ca="1">IF(SUM(ISBLANK(Model!I402:M402)*1)&gt;0,0,IF(P403=Q403,1,0))</f>
        <v>1</v>
      </c>
    </row>
    <row r="404" spans="1:22" ht="15" customHeight="1" outlineLevel="1">
      <c r="B404" s="18" t="s">
        <v>61</v>
      </c>
      <c r="C404" s="40"/>
      <c r="D404" s="39"/>
      <c r="E404" s="39"/>
      <c r="F404" s="39"/>
      <c r="G404" s="39"/>
      <c r="H404" s="155">
        <f>Model!H95</f>
        <v>0</v>
      </c>
      <c r="I404" s="155">
        <f ca="1">SUM(Model!I401:I402)</f>
        <v>7528.8331348805696</v>
      </c>
      <c r="J404" s="155">
        <f ca="1">SUM(Model!J401:J402)</f>
        <v>4848.8191337361495</v>
      </c>
      <c r="K404" s="155">
        <f ca="1">SUM(Model!K401:K402)</f>
        <v>2220.2482204906519</v>
      </c>
      <c r="L404" s="155">
        <f ca="1">SUM(Model!L401:L402)</f>
        <v>0</v>
      </c>
      <c r="M404" s="155">
        <f ca="1">SUM(Model!M401:M402)</f>
        <v>0</v>
      </c>
      <c r="P404" s="370">
        <f ca="1">SUM(Model!H403:M403)</f>
        <v>14597.900489107371</v>
      </c>
      <c r="Q404" s="369">
        <f ca="1">SUM(H404:M404)</f>
        <v>14597.900489107371</v>
      </c>
      <c r="R404" s="368" cm="1">
        <f t="array" aca="1" ref="R404" ca="1">IF(SUM(ISBLANK(Model!H403:M403)*1)&gt;0,0,IF(P404=Q404,1,0))</f>
        <v>1</v>
      </c>
    </row>
    <row r="405" spans="1:22" ht="15" customHeight="1" outlineLevel="1">
      <c r="B405" s="18"/>
      <c r="C405" s="40"/>
      <c r="D405" s="39"/>
      <c r="E405" s="39"/>
      <c r="F405" s="39"/>
      <c r="G405" s="39"/>
      <c r="H405" s="158"/>
      <c r="I405" s="158"/>
      <c r="J405" s="158"/>
      <c r="K405" s="158"/>
      <c r="L405" s="158"/>
      <c r="M405" s="158"/>
    </row>
    <row r="406" spans="1:22" ht="15" customHeight="1" outlineLevel="1" thickBot="1">
      <c r="B406" s="18" t="s">
        <v>72</v>
      </c>
      <c r="C406" s="40"/>
      <c r="D406" s="39"/>
      <c r="E406" s="39"/>
      <c r="F406" s="173" t="s">
        <v>1</v>
      </c>
      <c r="G406" s="39"/>
      <c r="H406" s="172"/>
      <c r="I406" s="163">
        <f>Inputs!$F$61</f>
        <v>0.05</v>
      </c>
      <c r="J406" s="163">
        <f>I406</f>
        <v>0.05</v>
      </c>
      <c r="K406" s="163">
        <f>J406</f>
        <v>0.05</v>
      </c>
      <c r="L406" s="163">
        <f>K406</f>
        <v>0.05</v>
      </c>
      <c r="M406" s="163">
        <f>L406</f>
        <v>0.05</v>
      </c>
      <c r="P406" s="382" t="s">
        <v>19</v>
      </c>
      <c r="Q406" s="381" t="s">
        <v>18</v>
      </c>
      <c r="R406" s="380" t="s">
        <v>17</v>
      </c>
      <c r="T406" s="52" t="s">
        <v>19</v>
      </c>
      <c r="U406" s="51" t="s">
        <v>18</v>
      </c>
      <c r="V406" s="50" t="s">
        <v>17</v>
      </c>
    </row>
    <row r="407" spans="1:22" ht="15" customHeight="1" outlineLevel="1">
      <c r="B407" s="18" t="s">
        <v>71</v>
      </c>
      <c r="F407" s="171" t="e">
        <f>#REF!</f>
        <v>#REF!</v>
      </c>
      <c r="I407" s="155">
        <f>IF(Model!$F$406=1,AVERAGE(Model!I403,Model!I401)*Model!I405,Model!I401*Model!I405)</f>
        <v>0</v>
      </c>
      <c r="J407" s="155">
        <f ca="1">IF(Model!$F$406=1,AVERAGE(Model!J403,Model!J401)*Model!J405,Model!J401*Model!J405)</f>
        <v>376.44165674402848</v>
      </c>
      <c r="K407" s="155">
        <f ca="1">IF(Model!$F$406=1,AVERAGE(Model!K403,Model!K401)*Model!K405,Model!K401*Model!K405)</f>
        <v>242.44095668680748</v>
      </c>
      <c r="L407" s="155">
        <f ca="1">IF(Model!$F$406=1,AVERAGE(Model!L403,Model!L401)*Model!L405,Model!L401*Model!L405)</f>
        <v>111.0124110245326</v>
      </c>
      <c r="M407" s="155">
        <f ca="1">IF(Model!$F$406=1,AVERAGE(Model!M403,Model!M401)*Model!M405,Model!M401*Model!M405)</f>
        <v>0</v>
      </c>
      <c r="O407" s="1"/>
      <c r="P407" s="379">
        <f ca="1">SUM(Model!I406:M406)</f>
        <v>729.89502445536857</v>
      </c>
      <c r="Q407" s="378">
        <f ca="1">SUM(I407:M407)</f>
        <v>729.89502445536857</v>
      </c>
      <c r="R407" s="377" cm="1">
        <f t="array" aca="1" ref="R407" ca="1">IF(SUM(ISBLANK(Model!I406:M406)*1)&gt;0,0,IF(P407=Q407,1,0))</f>
        <v>1</v>
      </c>
      <c r="T407" s="49">
        <f>Model!F406</f>
        <v>0</v>
      </c>
      <c r="U407" s="48" t="e">
        <f>F407</f>
        <v>#REF!</v>
      </c>
      <c r="V407" s="47">
        <f>IF(SUM(ISBLANK(Model!F406)*1)&gt;0,0,IF(T407=U407,1,0))</f>
        <v>0</v>
      </c>
    </row>
    <row r="408" spans="1:22" ht="15" customHeight="1" outlineLevel="1">
      <c r="B408" s="5"/>
      <c r="C408" s="5"/>
      <c r="D408" s="5"/>
      <c r="E408" s="5"/>
      <c r="F408" s="5"/>
      <c r="G408" s="5"/>
      <c r="H408" s="5"/>
      <c r="I408" s="5"/>
      <c r="J408" s="5"/>
      <c r="K408" s="5"/>
      <c r="L408" s="5"/>
      <c r="M408" s="5"/>
    </row>
    <row r="409" spans="1:22" ht="15" customHeight="1" outlineLevel="1"/>
    <row r="410" spans="1:22" ht="15" customHeight="1" outlineLevel="1" thickBot="1">
      <c r="B410" s="18"/>
      <c r="I410" s="158"/>
      <c r="J410" s="158"/>
      <c r="K410" s="158"/>
      <c r="L410" s="158"/>
      <c r="M410" s="158"/>
      <c r="P410" s="52" t="s">
        <v>19</v>
      </c>
      <c r="Q410" s="51" t="s">
        <v>18</v>
      </c>
      <c r="R410" s="50" t="s">
        <v>17</v>
      </c>
    </row>
    <row r="411" spans="1:22" ht="15" customHeight="1" outlineLevel="1">
      <c r="B411" s="18" t="s">
        <v>71</v>
      </c>
      <c r="I411" s="155">
        <f ca="1">Model!I406+Model!I374</f>
        <v>1268.2208283720142</v>
      </c>
      <c r="J411" s="155">
        <f ca="1">Model!J406+Model!J374</f>
        <v>1149.441306715418</v>
      </c>
      <c r="K411" s="155">
        <f ca="1">Model!K406+Model!K374</f>
        <v>776.72668385566999</v>
      </c>
      <c r="L411" s="155">
        <f ca="1">Model!L406+Model!L374</f>
        <v>415.50620551226632</v>
      </c>
      <c r="M411" s="155">
        <f ca="1">Model!M406+Model!M374</f>
        <v>120</v>
      </c>
      <c r="P411" s="373">
        <f ca="1">SUM(Model!I410:M410)</f>
        <v>3729.895024455368</v>
      </c>
      <c r="Q411" s="372">
        <f ca="1">SUM(I411:M411)</f>
        <v>3729.895024455368</v>
      </c>
      <c r="R411" s="371" cm="1">
        <f t="array" aca="1" ref="R411" ca="1">IF(SUM(ISBLANK(Model!I410:M410)*1)&gt;0,0,IF(P411=Q411,1,0))</f>
        <v>1</v>
      </c>
    </row>
    <row r="412" spans="1:22" ht="15" customHeight="1" outlineLevel="1">
      <c r="B412" s="18" t="s">
        <v>70</v>
      </c>
      <c r="I412" s="155">
        <f ca="1">-Model!I362</f>
        <v>-42.049995499999994</v>
      </c>
      <c r="J412" s="155">
        <f ca="1">-Model!J362</f>
        <v>0</v>
      </c>
      <c r="K412" s="155">
        <f ca="1">-Model!K362</f>
        <v>0</v>
      </c>
      <c r="L412" s="155">
        <f ca="1">-Model!L362</f>
        <v>-3.2400085865612254</v>
      </c>
      <c r="M412" s="155">
        <f ca="1">-Model!M362</f>
        <v>-18.331224070553958</v>
      </c>
      <c r="P412" s="373">
        <f ca="1">SUM(Model!I411:M411)</f>
        <v>-63.621228157115176</v>
      </c>
      <c r="Q412" s="372">
        <f ca="1">SUM(I412:M412)</f>
        <v>-63.621228157115176</v>
      </c>
      <c r="R412" s="371" cm="1">
        <f t="array" aca="1" ref="R412" ca="1">IF(SUM(ISBLANK(Model!I411:M411)*1)&gt;0,0,IF(P412=Q412,1,0))</f>
        <v>1</v>
      </c>
    </row>
    <row r="413" spans="1:22" ht="15" customHeight="1" outlineLevel="1" thickBot="1">
      <c r="B413" s="18" t="s">
        <v>69</v>
      </c>
      <c r="I413" s="170">
        <f ca="1">SUM(Model!I410:I411)</f>
        <v>1226.1708328720142</v>
      </c>
      <c r="J413" s="170">
        <f ca="1">SUM(Model!J410:J411)</f>
        <v>1149.441306715418</v>
      </c>
      <c r="K413" s="170">
        <f ca="1">SUM(Model!K410:K411)</f>
        <v>776.72668385566999</v>
      </c>
      <c r="L413" s="170">
        <f ca="1">SUM(Model!L410:L411)</f>
        <v>412.26619692570512</v>
      </c>
      <c r="M413" s="170">
        <f ca="1">SUM(Model!M410:M411)</f>
        <v>101.66877592944604</v>
      </c>
      <c r="P413" s="370">
        <f ca="1">SUM(Model!I412:M412)</f>
        <v>3666.2737962982533</v>
      </c>
      <c r="Q413" s="369">
        <f ca="1">SUM(I413:M413)</f>
        <v>3666.2737962982533</v>
      </c>
      <c r="R413" s="368" cm="1">
        <f t="array" aca="1" ref="R413" ca="1">IF(SUM(ISBLANK(Model!I412:M412)*1)&gt;0,0,IF(P413=Q413,1,0))</f>
        <v>1</v>
      </c>
    </row>
    <row r="414" spans="1:22" ht="15" customHeight="1" outlineLevel="1">
      <c r="A414" s="7"/>
      <c r="B414" s="41"/>
      <c r="C414" s="40"/>
      <c r="D414" s="39"/>
      <c r="E414" s="39"/>
      <c r="F414" s="39"/>
      <c r="G414" s="39"/>
      <c r="H414" s="39"/>
      <c r="I414" s="159"/>
      <c r="J414" s="159"/>
      <c r="K414" s="159"/>
      <c r="L414" s="159"/>
      <c r="M414" s="159"/>
      <c r="P414" s="3"/>
    </row>
    <row r="415" spans="1:22" ht="15" customHeight="1" outlineLevel="1">
      <c r="A415" s="7"/>
      <c r="B415" s="41"/>
      <c r="C415" s="40"/>
      <c r="D415" s="39"/>
      <c r="E415" s="39"/>
      <c r="F415" s="39"/>
      <c r="G415" s="39"/>
      <c r="H415" s="39"/>
      <c r="I415" s="159"/>
      <c r="J415" s="159"/>
      <c r="K415" s="159"/>
      <c r="L415" s="159"/>
      <c r="M415" s="159"/>
      <c r="P415" s="3"/>
    </row>
    <row r="416" spans="1:22" s="149" customFormat="1" ht="15" customHeight="1" outlineLevel="1">
      <c r="B416" s="41"/>
      <c r="C416" s="40"/>
      <c r="D416" s="39"/>
      <c r="E416" s="39"/>
      <c r="F416" s="39"/>
      <c r="G416" s="39"/>
      <c r="H416" s="39"/>
      <c r="I416" s="159"/>
      <c r="J416" s="159"/>
      <c r="K416" s="159"/>
      <c r="L416" s="159"/>
      <c r="M416" s="159"/>
      <c r="N416" s="150"/>
      <c r="O416" s="150"/>
    </row>
    <row r="417" spans="1:18" s="149" customFormat="1" ht="15" customHeight="1" outlineLevel="1">
      <c r="B417" s="154"/>
      <c r="C417" s="153"/>
      <c r="D417" s="152"/>
      <c r="E417" s="152"/>
      <c r="F417" s="152"/>
      <c r="G417" s="152"/>
      <c r="H417" s="152"/>
      <c r="I417" s="151"/>
      <c r="J417" s="151"/>
      <c r="K417" s="151"/>
      <c r="L417" s="151"/>
      <c r="M417" s="151"/>
      <c r="N417" s="150"/>
      <c r="O417" s="150"/>
    </row>
    <row r="418" spans="1:18" s="149" customFormat="1" ht="15" customHeight="1">
      <c r="B418" s="41"/>
      <c r="C418" s="40"/>
      <c r="D418" s="39"/>
      <c r="E418" s="39"/>
      <c r="F418" s="39"/>
      <c r="G418" s="39"/>
      <c r="H418" s="39"/>
      <c r="I418" s="159"/>
      <c r="J418" s="159"/>
      <c r="K418" s="159"/>
      <c r="L418" s="159"/>
      <c r="M418" s="159"/>
      <c r="N418" s="150"/>
      <c r="O418" s="150"/>
    </row>
    <row r="419" spans="1:18" s="149" customFormat="1" ht="15" customHeight="1">
      <c r="A419" s="149" t="s">
        <v>0</v>
      </c>
      <c r="B419" s="45" t="s">
        <v>68</v>
      </c>
      <c r="C419" s="44"/>
      <c r="D419" s="169"/>
      <c r="E419" s="169"/>
      <c r="F419" s="42"/>
      <c r="G419" s="42"/>
      <c r="H419" s="42"/>
      <c r="I419" s="168"/>
      <c r="J419" s="167"/>
      <c r="K419" s="167"/>
      <c r="L419" s="167"/>
      <c r="M419" s="167"/>
      <c r="N419" s="164"/>
      <c r="O419" s="164"/>
      <c r="P419" s="166"/>
    </row>
    <row r="420" spans="1:18" s="149" customFormat="1" ht="15" customHeight="1" outlineLevel="1">
      <c r="B420" s="147"/>
      <c r="C420" s="40"/>
      <c r="D420" s="146"/>
      <c r="E420" s="146"/>
      <c r="F420" s="145"/>
      <c r="G420" s="145"/>
      <c r="H420" s="145"/>
      <c r="I420" s="145"/>
      <c r="J420" s="145"/>
      <c r="K420" s="145"/>
      <c r="L420" s="145"/>
      <c r="M420" s="145"/>
      <c r="N420" s="164"/>
      <c r="O420" s="164"/>
    </row>
    <row r="421" spans="1:18" s="149" customFormat="1" ht="15" customHeight="1" outlineLevel="1" thickBot="1">
      <c r="B421" s="41" t="s">
        <v>15</v>
      </c>
      <c r="C421" s="40"/>
      <c r="D421" s="39"/>
      <c r="E421" s="39"/>
      <c r="F421" s="39"/>
      <c r="G421" s="39"/>
      <c r="H421" s="165">
        <f t="shared" ref="H421:M421" si="47">H$5</f>
        <v>2022</v>
      </c>
      <c r="I421" s="105">
        <f t="shared" si="47"/>
        <v>2023</v>
      </c>
      <c r="J421" s="105">
        <f t="shared" si="47"/>
        <v>2024</v>
      </c>
      <c r="K421" s="105">
        <f t="shared" si="47"/>
        <v>2025</v>
      </c>
      <c r="L421" s="105">
        <f t="shared" si="47"/>
        <v>2026</v>
      </c>
      <c r="M421" s="105">
        <f t="shared" si="47"/>
        <v>2027</v>
      </c>
      <c r="N421" s="164"/>
      <c r="O421" s="164"/>
      <c r="P421" s="3"/>
    </row>
    <row r="422" spans="1:18" ht="15" customHeight="1" outlineLevel="1">
      <c r="A422" s="7"/>
      <c r="B422" s="41" t="str">
        <f>B$6</f>
        <v>Model Running: Base Case Drivers</v>
      </c>
      <c r="C422" s="40"/>
      <c r="D422" s="39"/>
      <c r="E422" s="39"/>
      <c r="F422" s="39"/>
      <c r="G422" s="39"/>
      <c r="H422" s="39"/>
      <c r="I422" s="159"/>
      <c r="J422" s="159"/>
      <c r="K422" s="159"/>
      <c r="L422" s="159"/>
      <c r="M422" s="159"/>
      <c r="P422" s="3"/>
    </row>
    <row r="423" spans="1:18" s="149" customFormat="1" ht="15" customHeight="1" outlineLevel="1">
      <c r="B423" s="41"/>
      <c r="C423" s="40"/>
      <c r="D423" s="39"/>
      <c r="E423" s="39"/>
      <c r="F423" s="39"/>
      <c r="G423" s="39"/>
      <c r="H423" s="39"/>
      <c r="I423" s="159"/>
      <c r="J423" s="159"/>
      <c r="K423" s="159"/>
      <c r="L423" s="159"/>
      <c r="M423" s="159"/>
      <c r="N423" s="150"/>
      <c r="O423" s="150"/>
    </row>
    <row r="424" spans="1:18" s="149" customFormat="1" ht="15" customHeight="1" outlineLevel="1">
      <c r="B424" s="41"/>
      <c r="C424" s="40"/>
      <c r="D424" s="39"/>
      <c r="E424" s="39"/>
      <c r="F424" s="39"/>
      <c r="G424" s="39"/>
      <c r="H424" s="39"/>
      <c r="I424" s="159"/>
      <c r="J424" s="159"/>
      <c r="K424" s="159"/>
      <c r="L424" s="159"/>
      <c r="M424" s="159"/>
      <c r="N424" s="150"/>
      <c r="O424" s="150"/>
    </row>
    <row r="425" spans="1:18" ht="15" customHeight="1" outlineLevel="1">
      <c r="B425" s="160" t="s">
        <v>67</v>
      </c>
      <c r="C425" s="40"/>
      <c r="D425" s="39"/>
      <c r="E425" s="39"/>
      <c r="F425" s="39"/>
      <c r="G425" s="39"/>
      <c r="H425" s="39"/>
      <c r="I425" s="159"/>
      <c r="J425" s="159"/>
      <c r="K425" s="159"/>
      <c r="L425" s="159"/>
      <c r="M425" s="159"/>
    </row>
    <row r="426" spans="1:18" ht="15" customHeight="1" outlineLevel="1" thickBot="1">
      <c r="B426" s="160"/>
      <c r="C426" s="40"/>
      <c r="D426" s="39"/>
      <c r="E426" s="39"/>
      <c r="F426" s="39"/>
      <c r="G426" s="39"/>
      <c r="H426" s="39"/>
      <c r="I426" s="159"/>
      <c r="J426" s="159"/>
      <c r="K426" s="159"/>
      <c r="L426" s="159"/>
      <c r="M426" s="159"/>
      <c r="P426" s="382" t="s">
        <v>19</v>
      </c>
      <c r="Q426" s="381" t="s">
        <v>18</v>
      </c>
      <c r="R426" s="380" t="s">
        <v>17</v>
      </c>
    </row>
    <row r="427" spans="1:18" ht="15" customHeight="1" outlineLevel="1">
      <c r="B427" s="18" t="s">
        <v>63</v>
      </c>
      <c r="C427" s="40"/>
      <c r="D427" s="39"/>
      <c r="E427" s="39"/>
      <c r="F427" s="39"/>
      <c r="G427" s="39"/>
      <c r="H427" s="158"/>
      <c r="I427" s="155">
        <f>Model!H428</f>
        <v>38669.700000000084</v>
      </c>
      <c r="J427" s="155">
        <f>Model!I428</f>
        <v>37669.700000000084</v>
      </c>
      <c r="K427" s="155">
        <f>Model!J428</f>
        <v>36669.700000000084</v>
      </c>
      <c r="L427" s="155">
        <f>Model!K428</f>
        <v>35669.700000000084</v>
      </c>
      <c r="M427" s="155">
        <f>Model!L428</f>
        <v>34669.700000000084</v>
      </c>
      <c r="P427" s="379">
        <f>SUM(Model!I426:M426)</f>
        <v>183348.50000000041</v>
      </c>
      <c r="Q427" s="378">
        <f>SUM(I427:M427)</f>
        <v>183348.50000000041</v>
      </c>
      <c r="R427" s="377" cm="1">
        <f t="array" ref="R427">IF(SUM(ISBLANK(Model!I426:M426)*1)&gt;0,0,IF(P427=Q427,1,0))</f>
        <v>1</v>
      </c>
    </row>
    <row r="428" spans="1:18" ht="15" customHeight="1" outlineLevel="1">
      <c r="B428" s="18" t="s">
        <v>43</v>
      </c>
      <c r="C428" s="40"/>
      <c r="D428" s="39"/>
      <c r="E428" s="39"/>
      <c r="F428" s="39"/>
      <c r="G428" s="39"/>
      <c r="H428" s="157"/>
      <c r="I428" s="161">
        <f>Inputs!H45</f>
        <v>-1000</v>
      </c>
      <c r="J428" s="161">
        <f>Inputs!I45</f>
        <v>-1000</v>
      </c>
      <c r="K428" s="161">
        <f>Inputs!J45</f>
        <v>-1000</v>
      </c>
      <c r="L428" s="161">
        <f>Inputs!K45</f>
        <v>-1000</v>
      </c>
      <c r="M428" s="161">
        <f>Inputs!L45</f>
        <v>-1000</v>
      </c>
    </row>
    <row r="429" spans="1:18" ht="15" customHeight="1" outlineLevel="1">
      <c r="B429" s="18" t="s">
        <v>61</v>
      </c>
      <c r="C429" s="40"/>
      <c r="D429" s="39"/>
      <c r="E429" s="39"/>
      <c r="F429" s="39"/>
      <c r="G429" s="39"/>
      <c r="H429" s="155">
        <f>Model!H105</f>
        <v>38669.700000000084</v>
      </c>
      <c r="I429" s="155">
        <f>SUM(Model!I426:I427)</f>
        <v>37669.700000000084</v>
      </c>
      <c r="J429" s="155">
        <f>SUM(Model!J426:J427)</f>
        <v>36669.700000000084</v>
      </c>
      <c r="K429" s="155">
        <f>SUM(Model!K426:K427)</f>
        <v>35669.700000000084</v>
      </c>
      <c r="L429" s="155">
        <f>SUM(Model!L426:L427)</f>
        <v>34669.700000000084</v>
      </c>
      <c r="M429" s="155">
        <f>SUM(Model!M426:M427)</f>
        <v>33669.700000000084</v>
      </c>
      <c r="P429" s="49">
        <f>SUM(Model!H428:M428)</f>
        <v>217018.20000000048</v>
      </c>
      <c r="Q429" s="48">
        <f>SUM(H429:M429)</f>
        <v>217018.20000000048</v>
      </c>
      <c r="R429" s="47" cm="1">
        <f t="array" ref="R429">IF(SUM(ISBLANK(Model!H428:M428)*1)&gt;0,0,IF(P429=Q429,1,0))</f>
        <v>1</v>
      </c>
    </row>
    <row r="430" spans="1:18" ht="15" customHeight="1" outlineLevel="1"/>
    <row r="431" spans="1:18" ht="15" customHeight="1" outlineLevel="1">
      <c r="B431" s="18" t="s">
        <v>10</v>
      </c>
      <c r="C431" s="40"/>
      <c r="D431" s="39"/>
      <c r="E431" s="39"/>
      <c r="F431" s="39"/>
      <c r="G431" s="39"/>
      <c r="H431" s="158"/>
      <c r="I431" s="155">
        <f ca="1">Model!I34</f>
        <v>10255.820479504599</v>
      </c>
      <c r="J431" s="155">
        <f ca="1">Model!J34</f>
        <v>9751.9117067571642</v>
      </c>
      <c r="K431" s="155">
        <f ca="1">Model!K34</f>
        <v>9764.4477647166241</v>
      </c>
      <c r="L431" s="155">
        <f ca="1">Model!L34</f>
        <v>9705.6750233857128</v>
      </c>
      <c r="M431" s="155">
        <f ca="1">Model!M34</f>
        <v>9383.7590208742622</v>
      </c>
      <c r="P431" s="49">
        <f ca="1">SUM(Model!I430:M430)</f>
        <v>48861.61399523836</v>
      </c>
      <c r="Q431" s="48">
        <f ca="1">SUM(I431:M431)</f>
        <v>48861.61399523836</v>
      </c>
      <c r="R431" s="47" cm="1">
        <f t="array" aca="1" ref="R431" ca="1">IF(SUM(ISBLANK(Model!I430:M430)*1)&gt;0,0,IF(P431=Q431,1,0))</f>
        <v>1</v>
      </c>
    </row>
    <row r="432" spans="1:18" ht="15" customHeight="1" outlineLevel="1">
      <c r="B432" s="18" t="s">
        <v>66</v>
      </c>
      <c r="C432" s="40"/>
      <c r="D432" s="39"/>
      <c r="E432" s="39"/>
      <c r="F432" s="39"/>
      <c r="G432" s="39"/>
      <c r="H432" s="158"/>
      <c r="I432" s="163">
        <f>Inputs!$F$56</f>
        <v>0.2</v>
      </c>
      <c r="J432" s="163">
        <f>I432</f>
        <v>0.2</v>
      </c>
      <c r="K432" s="163">
        <f>J432</f>
        <v>0.2</v>
      </c>
      <c r="L432" s="163">
        <f>K432</f>
        <v>0.2</v>
      </c>
      <c r="M432" s="163">
        <f>L432</f>
        <v>0.2</v>
      </c>
    </row>
    <row r="433" spans="2:18" ht="15" customHeight="1" outlineLevel="1">
      <c r="B433" s="18" t="s">
        <v>65</v>
      </c>
      <c r="C433" s="40"/>
      <c r="D433" s="39"/>
      <c r="E433" s="39"/>
      <c r="F433" s="39"/>
      <c r="G433" s="39"/>
      <c r="H433" s="158"/>
      <c r="I433" s="155">
        <f ca="1">MAX(Model!I431*Model!I430,0)</f>
        <v>2051.1640959009196</v>
      </c>
      <c r="J433" s="155">
        <f ca="1">MAX(Model!J431*Model!J430,0)</f>
        <v>1950.3823413514328</v>
      </c>
      <c r="K433" s="155">
        <f ca="1">MAX(Model!K431*Model!K430,0)</f>
        <v>1952.8895529433248</v>
      </c>
      <c r="L433" s="155">
        <f ca="1">MAX(Model!L431*Model!L430,0)</f>
        <v>1941.1350046771427</v>
      </c>
      <c r="M433" s="155">
        <f ca="1">MAX(Model!M431*Model!M430,0)</f>
        <v>1876.7518041748526</v>
      </c>
      <c r="P433" s="49">
        <f ca="1">SUM(Model!I432:M432)</f>
        <v>9772.3227990476735</v>
      </c>
      <c r="Q433" s="48">
        <f ca="1">SUM(I433:M433)</f>
        <v>9772.3227990476735</v>
      </c>
      <c r="R433" s="47" cm="1">
        <f t="array" aca="1" ref="R433" ca="1">IF(SUM(ISBLANK(Model!I432:M432)*1)&gt;0,0,IF(P433=Q433,1,0))</f>
        <v>1</v>
      </c>
    </row>
    <row r="434" spans="2:18" ht="15" customHeight="1" outlineLevel="1">
      <c r="B434" s="18"/>
      <c r="C434" s="40"/>
      <c r="D434" s="39"/>
      <c r="E434" s="39"/>
      <c r="F434" s="39"/>
      <c r="G434" s="39"/>
      <c r="H434" s="158"/>
      <c r="I434" s="158"/>
      <c r="J434" s="158"/>
      <c r="K434" s="158"/>
      <c r="L434" s="158"/>
      <c r="M434" s="158"/>
    </row>
    <row r="435" spans="2:18" ht="15" customHeight="1" outlineLevel="1">
      <c r="B435" s="162"/>
      <c r="C435" s="153"/>
      <c r="D435" s="152"/>
      <c r="E435" s="152"/>
      <c r="F435" s="152"/>
      <c r="G435" s="152"/>
      <c r="H435" s="161"/>
      <c r="I435" s="161"/>
      <c r="J435" s="161"/>
      <c r="K435" s="161"/>
      <c r="L435" s="161"/>
      <c r="M435" s="161"/>
    </row>
    <row r="436" spans="2:18" ht="15" customHeight="1" outlineLevel="1">
      <c r="B436" s="18"/>
      <c r="C436" s="40"/>
      <c r="D436" s="39"/>
      <c r="E436" s="39"/>
      <c r="F436" s="39"/>
      <c r="G436" s="39"/>
      <c r="H436" s="158"/>
      <c r="I436" s="158"/>
      <c r="J436" s="158"/>
      <c r="K436" s="158"/>
      <c r="L436" s="158"/>
      <c r="M436" s="158"/>
    </row>
    <row r="437" spans="2:18" ht="15" customHeight="1" outlineLevel="1"/>
    <row r="438" spans="2:18" ht="15" customHeight="1" outlineLevel="1">
      <c r="B438" s="160" t="s">
        <v>64</v>
      </c>
      <c r="C438" s="40"/>
      <c r="D438" s="39"/>
      <c r="E438" s="39"/>
      <c r="F438" s="39"/>
      <c r="G438" s="39"/>
      <c r="H438" s="39"/>
      <c r="I438" s="159"/>
      <c r="J438" s="159"/>
      <c r="K438" s="159"/>
      <c r="L438" s="159"/>
      <c r="M438" s="159"/>
    </row>
    <row r="439" spans="2:18" ht="15" customHeight="1" outlineLevel="1">
      <c r="B439" s="160"/>
      <c r="C439" s="40"/>
      <c r="D439" s="39"/>
      <c r="E439" s="39"/>
      <c r="F439" s="39"/>
      <c r="G439" s="39"/>
      <c r="H439" s="39"/>
      <c r="I439" s="159"/>
      <c r="J439" s="159"/>
      <c r="K439" s="159"/>
      <c r="L439" s="159"/>
      <c r="M439" s="159"/>
    </row>
    <row r="440" spans="2:18" ht="15" customHeight="1" outlineLevel="1">
      <c r="B440" s="18" t="s">
        <v>63</v>
      </c>
      <c r="C440" s="40"/>
      <c r="D440" s="39"/>
      <c r="E440" s="39"/>
      <c r="F440" s="39"/>
      <c r="G440" s="39"/>
      <c r="H440" s="158"/>
      <c r="I440" s="155">
        <f>Model!H442</f>
        <v>20433.299099999997</v>
      </c>
      <c r="J440" s="155">
        <f ca="1">Model!I442</f>
        <v>28637.955483603673</v>
      </c>
      <c r="K440" s="155">
        <f ca="1">Model!J442</f>
        <v>36439.484849009401</v>
      </c>
      <c r="L440" s="155">
        <f ca="1">Model!K442</f>
        <v>44251.0430607827</v>
      </c>
      <c r="M440" s="155">
        <f ca="1">Model!L442</f>
        <v>52015.583079491276</v>
      </c>
      <c r="P440" s="376">
        <f ca="1">SUM(Model!I439:M439)</f>
        <v>181777.36557288707</v>
      </c>
      <c r="Q440" s="375">
        <f ca="1">SUM(I440:M440)</f>
        <v>181777.36557288707</v>
      </c>
      <c r="R440" s="374" cm="1">
        <f t="array" aca="1" ref="R440" ca="1">IF(SUM(ISBLANK(Model!I439:M439)*1)&gt;0,0,IF(P440=Q440,1,0))</f>
        <v>1</v>
      </c>
    </row>
    <row r="441" spans="2:18" ht="15" customHeight="1" outlineLevel="1">
      <c r="B441" s="18" t="s">
        <v>10</v>
      </c>
      <c r="C441" s="40"/>
      <c r="D441" s="39"/>
      <c r="E441" s="39"/>
      <c r="F441" s="39"/>
      <c r="G441" s="39"/>
      <c r="H441" s="158"/>
      <c r="I441" s="155">
        <f ca="1">Model!I34</f>
        <v>10255.820479504599</v>
      </c>
      <c r="J441" s="155">
        <f ca="1">Model!J34</f>
        <v>9751.9117067571642</v>
      </c>
      <c r="K441" s="155">
        <f ca="1">Model!K34</f>
        <v>9764.4477647166241</v>
      </c>
      <c r="L441" s="155">
        <f ca="1">Model!L34</f>
        <v>9705.6750233857128</v>
      </c>
      <c r="M441" s="155">
        <f ca="1">Model!M34</f>
        <v>9383.7590208742622</v>
      </c>
      <c r="P441" s="373">
        <f ca="1">SUM(Model!I440:M440)</f>
        <v>48861.61399523836</v>
      </c>
      <c r="Q441" s="372">
        <f ca="1">SUM(I441:M441)</f>
        <v>48861.61399523836</v>
      </c>
      <c r="R441" s="371" cm="1">
        <f t="array" aca="1" ref="R441" ca="1">IF(SUM(ISBLANK(Model!I440:M440)*1)&gt;0,0,IF(P441=Q441,1,0))</f>
        <v>1</v>
      </c>
    </row>
    <row r="442" spans="2:18" ht="15" customHeight="1" outlineLevel="1">
      <c r="B442" s="18" t="s">
        <v>62</v>
      </c>
      <c r="C442" s="40"/>
      <c r="D442" s="39"/>
      <c r="E442" s="39"/>
      <c r="F442" s="39"/>
      <c r="G442" s="39"/>
      <c r="H442" s="157"/>
      <c r="I442" s="156">
        <f ca="1">-Model!I432</f>
        <v>-2051.1640959009196</v>
      </c>
      <c r="J442" s="156">
        <f ca="1">-Model!J432</f>
        <v>-1950.3823413514328</v>
      </c>
      <c r="K442" s="156">
        <f ca="1">-Model!K432</f>
        <v>-1952.8895529433248</v>
      </c>
      <c r="L442" s="156">
        <f ca="1">-Model!L432</f>
        <v>-1941.1350046771427</v>
      </c>
      <c r="M442" s="156">
        <f ca="1">-Model!M432</f>
        <v>-1876.7518041748526</v>
      </c>
      <c r="P442" s="373">
        <f ca="1">SUM(Model!I441:M441)</f>
        <v>-9772.3227990476735</v>
      </c>
      <c r="Q442" s="372">
        <f ca="1">SUM(I442:M442)</f>
        <v>-9772.3227990476735</v>
      </c>
      <c r="R442" s="371" cm="1">
        <f t="array" aca="1" ref="R442" ca="1">IF(SUM(ISBLANK(Model!I441:M441)*1)&gt;0,0,IF(P442=Q442,1,0))</f>
        <v>1</v>
      </c>
    </row>
    <row r="443" spans="2:18" ht="15" customHeight="1" outlineLevel="1">
      <c r="B443" s="18" t="s">
        <v>61</v>
      </c>
      <c r="C443" s="40"/>
      <c r="D443" s="39"/>
      <c r="E443" s="39"/>
      <c r="F443" s="39"/>
      <c r="G443" s="39"/>
      <c r="H443" s="155">
        <f>Model!H106</f>
        <v>20433.299099999997</v>
      </c>
      <c r="I443" s="155">
        <f ca="1">SUM(Model!I439:I441)</f>
        <v>28637.955483603673</v>
      </c>
      <c r="J443" s="155">
        <f ca="1">SUM(Model!J439:J441)</f>
        <v>36439.484849009401</v>
      </c>
      <c r="K443" s="155">
        <f ca="1">SUM(Model!K439:K441)</f>
        <v>44251.0430607827</v>
      </c>
      <c r="L443" s="155">
        <f ca="1">SUM(Model!L439:L441)</f>
        <v>52015.583079491276</v>
      </c>
      <c r="M443" s="155">
        <f ca="1">SUM(Model!M439:M441)</f>
        <v>59522.590296190683</v>
      </c>
      <c r="P443" s="370">
        <f ca="1">SUM(Model!H442:M442)</f>
        <v>241299.95586907776</v>
      </c>
      <c r="Q443" s="369">
        <f ca="1">SUM(H443:M443)</f>
        <v>241299.95586907776</v>
      </c>
      <c r="R443" s="368" cm="1">
        <f t="array" aca="1" ref="R443" ca="1">IF(SUM(ISBLANK(Model!H442:M442)*1)&gt;0,0,IF(P443=Q443,1,0))</f>
        <v>1</v>
      </c>
    </row>
    <row r="444" spans="2:18" ht="15" customHeight="1" outlineLevel="1"/>
    <row r="445" spans="2:18" s="149" customFormat="1" ht="15" customHeight="1" outlineLevel="1">
      <c r="B445" s="154"/>
      <c r="C445" s="153"/>
      <c r="D445" s="152"/>
      <c r="E445" s="152"/>
      <c r="F445" s="152"/>
      <c r="G445" s="152"/>
      <c r="H445" s="152"/>
      <c r="I445" s="151"/>
      <c r="J445" s="151"/>
      <c r="K445" s="151"/>
      <c r="L445" s="151"/>
      <c r="M445" s="151" t="s">
        <v>0</v>
      </c>
      <c r="N445" s="150"/>
      <c r="O445" s="150"/>
    </row>
  </sheetData>
  <conditionalFormatting sqref="D317">
    <cfRule type="expression" dxfId="2" priority="2">
      <formula>$D$317=1</formula>
    </cfRule>
  </conditionalFormatting>
  <conditionalFormatting sqref="F114:M114">
    <cfRule type="expression" dxfId="1" priority="1">
      <formula>F114&lt;&gt;0</formula>
    </cfRule>
  </conditionalFormatting>
  <conditionalFormatting sqref="I155:M155">
    <cfRule type="expression" dxfId="0" priority="3">
      <formula>I$155=1</formula>
    </cfRule>
  </conditionalFormatting>
  <printOptions horizontalCentered="1"/>
  <pageMargins left="0.11811023622047245" right="0.11811023622047245" top="0.11811023622047245" bottom="0.11811023622047245" header="0.11811023622047245" footer="0.11811023622047245"/>
  <pageSetup scale="85" orientation="landscape" r:id="rId1"/>
  <headerFooter alignWithMargins="0">
    <oddFooter>&amp;L&amp;"Open Sans,Bold"&amp;10 &amp;K0020603-Statement Modeling&amp;C&amp;"Open Sans,Bold"&amp;10&amp;K002060Page &amp;P of &amp;N&amp;R&amp;G</oddFooter>
  </headerFooter>
  <colBreaks count="1" manualBreakCount="1">
    <brk id="15" max="419" man="1"/>
  </colBreak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PresentationFormat/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Cover</vt:lpstr>
      <vt:lpstr>Outputs</vt:lpstr>
      <vt:lpstr>Inputs</vt:lpstr>
      <vt:lpstr>Model</vt:lpstr>
      <vt:lpstr>Inputs!Print_Area</vt:lpstr>
      <vt:lpstr>'Inputs-R'!Print_Area</vt:lpstr>
      <vt:lpstr>Model!Print_Area</vt:lpstr>
      <vt:lpstr>'Model-R'!Print_Area</vt:lpstr>
      <vt:lpstr>Outputs!Print_Area</vt:lpstr>
      <vt:lpstr>'Outputs-R'!Print_Area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Elahi, Md Fozley</dc:creator>
  <cp:keywords/>
  <dc:description/>
  <cp:lastModifiedBy>Elahi, Md Fozley</cp:lastModifiedBy>
  <cp:revision/>
  <dcterms:created xsi:type="dcterms:W3CDTF">1899-12-30T05:00:00Z</dcterms:created>
  <dcterms:modified xsi:type="dcterms:W3CDTF">2026-04-16T20:43:01Z</dcterms:modified>
  <cp:category/>
  <cp:contentStatus/>
  <dc:language/>
  <cp:version/>
</cp:coreProperties>
</file>