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D:\CFI\For Website\"/>
    </mc:Choice>
  </mc:AlternateContent>
  <xr:revisionPtr revIDLastSave="0" documentId="13_ncr:1_{CD4239C6-F96C-4608-95D9-4D2476F4CA9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ver" sheetId="2" r:id="rId1"/>
    <sheet name="Model" sheetId="1" r:id="rId2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0" i="1" l="1"/>
  <c r="H95" i="1" s="1"/>
  <c r="G68" i="1"/>
  <c r="C93" i="1" s="1"/>
  <c r="G67" i="1"/>
  <c r="A93" i="1"/>
  <c r="J94" i="1"/>
  <c r="J95" i="1" s="1"/>
  <c r="J92" i="1"/>
  <c r="J91" i="1"/>
  <c r="N90" i="1"/>
  <c r="O90" i="1" s="1"/>
  <c r="L90" i="1"/>
  <c r="K90" i="1"/>
  <c r="J80" i="1"/>
  <c r="J81" i="1" s="1"/>
  <c r="J78" i="1"/>
  <c r="J77" i="1" s="1"/>
  <c r="N76" i="1"/>
  <c r="O76" i="1" s="1"/>
  <c r="L76" i="1"/>
  <c r="K76" i="1" s="1"/>
  <c r="D73" i="1"/>
  <c r="M68" i="1"/>
  <c r="M67" i="1"/>
  <c r="J49" i="1"/>
  <c r="D57" i="1"/>
  <c r="K36" i="1"/>
  <c r="F35" i="1"/>
  <c r="K34" i="1" s="1"/>
  <c r="L34" i="1" s="1"/>
  <c r="M34" i="1" s="1"/>
  <c r="N34" i="1" s="1"/>
  <c r="O34" i="1" s="1"/>
  <c r="P34" i="1" s="1"/>
  <c r="I21" i="1"/>
  <c r="J21" i="1"/>
  <c r="I22" i="1"/>
  <c r="J22" i="1"/>
  <c r="I23" i="1"/>
  <c r="J23" i="1"/>
  <c r="K23" i="1"/>
  <c r="L23" i="1"/>
  <c r="M23" i="1"/>
  <c r="N23" i="1"/>
  <c r="O23" i="1"/>
  <c r="P23" i="1"/>
  <c r="H23" i="1"/>
  <c r="H22" i="1"/>
  <c r="H21" i="1"/>
  <c r="I13" i="1"/>
  <c r="I15" i="1" s="1"/>
  <c r="J13" i="1"/>
  <c r="J15" i="1" s="1"/>
  <c r="H13" i="1"/>
  <c r="H15" i="1" s="1"/>
  <c r="K10" i="1"/>
  <c r="K13" i="1" s="1"/>
  <c r="K16" i="1" s="1"/>
  <c r="K22" i="1" s="1"/>
  <c r="J9" i="1"/>
  <c r="I9" i="1"/>
  <c r="J6" i="1"/>
  <c r="L6" i="1"/>
  <c r="M6" i="1" s="1"/>
  <c r="N6" i="1" s="1"/>
  <c r="O6" i="1" s="1"/>
  <c r="E93" i="1" l="1"/>
  <c r="L79" i="1" s="1"/>
  <c r="L93" i="1" s="1"/>
  <c r="F93" i="1"/>
  <c r="M79" i="1" s="1"/>
  <c r="M93" i="1" s="1"/>
  <c r="O81" i="1"/>
  <c r="O95" i="1" s="1"/>
  <c r="G93" i="1"/>
  <c r="N79" i="1" s="1"/>
  <c r="N93" i="1" s="1"/>
  <c r="D91" i="1"/>
  <c r="K77" i="1" s="1"/>
  <c r="K91" i="1" s="1"/>
  <c r="H93" i="1"/>
  <c r="O79" i="1" s="1"/>
  <c r="O93" i="1" s="1"/>
  <c r="E91" i="1"/>
  <c r="L77" i="1" s="1"/>
  <c r="L91" i="1" s="1"/>
  <c r="D94" i="1"/>
  <c r="K80" i="1" s="1"/>
  <c r="K94" i="1" s="1"/>
  <c r="F91" i="1"/>
  <c r="M77" i="1" s="1"/>
  <c r="M91" i="1" s="1"/>
  <c r="E94" i="1"/>
  <c r="L80" i="1" s="1"/>
  <c r="L94" i="1" s="1"/>
  <c r="G91" i="1"/>
  <c r="N77" i="1" s="1"/>
  <c r="N91" i="1" s="1"/>
  <c r="F94" i="1"/>
  <c r="M80" i="1" s="1"/>
  <c r="M94" i="1" s="1"/>
  <c r="H91" i="1"/>
  <c r="O77" i="1" s="1"/>
  <c r="O91" i="1" s="1"/>
  <c r="G94" i="1"/>
  <c r="N80" i="1" s="1"/>
  <c r="N94" i="1" s="1"/>
  <c r="D92" i="1"/>
  <c r="K78" i="1" s="1"/>
  <c r="K92" i="1" s="1"/>
  <c r="H94" i="1"/>
  <c r="O80" i="1" s="1"/>
  <c r="O94" i="1" s="1"/>
  <c r="E92" i="1"/>
  <c r="L78" i="1" s="1"/>
  <c r="L92" i="1" s="1"/>
  <c r="D95" i="1"/>
  <c r="K81" i="1" s="1"/>
  <c r="K95" i="1" s="1"/>
  <c r="F92" i="1"/>
  <c r="M78" i="1" s="1"/>
  <c r="M92" i="1" s="1"/>
  <c r="E95" i="1"/>
  <c r="L81" i="1" s="1"/>
  <c r="L95" i="1" s="1"/>
  <c r="G92" i="1"/>
  <c r="N78" i="1" s="1"/>
  <c r="N92" i="1" s="1"/>
  <c r="F95" i="1"/>
  <c r="M81" i="1" s="1"/>
  <c r="M95" i="1" s="1"/>
  <c r="H92" i="1"/>
  <c r="O78" i="1" s="1"/>
  <c r="O92" i="1" s="1"/>
  <c r="G95" i="1"/>
  <c r="N81" i="1" s="1"/>
  <c r="N95" i="1" s="1"/>
  <c r="D93" i="1"/>
  <c r="K79" i="1" s="1"/>
  <c r="K93" i="1" s="1"/>
  <c r="C80" i="1"/>
  <c r="C81" i="1" s="1"/>
  <c r="G76" i="1"/>
  <c r="H76" i="1" s="1"/>
  <c r="F90" i="1"/>
  <c r="G90" i="1" s="1"/>
  <c r="H90" i="1" s="1"/>
  <c r="E76" i="1"/>
  <c r="D76" i="1" s="1"/>
  <c r="C92" i="1"/>
  <c r="C91" i="1" s="1"/>
  <c r="C94" i="1"/>
  <c r="C95" i="1" s="1"/>
  <c r="H25" i="1"/>
  <c r="J25" i="1"/>
  <c r="I25" i="1"/>
  <c r="J34" i="1"/>
  <c r="L10" i="1"/>
  <c r="I6" i="1"/>
  <c r="H6" i="1" s="1"/>
  <c r="K21" i="1"/>
  <c r="K25" i="1" s="1"/>
  <c r="K37" i="1" s="1"/>
  <c r="K40" i="1" s="1"/>
  <c r="C78" i="1" l="1"/>
  <c r="C77" i="1" s="1"/>
  <c r="E90" i="1"/>
  <c r="D90" i="1" s="1"/>
  <c r="K42" i="1"/>
  <c r="L13" i="1"/>
  <c r="L16" i="1" s="1"/>
  <c r="L22" i="1" s="1"/>
  <c r="L21" i="1"/>
  <c r="L25" i="1" s="1"/>
  <c r="L37" i="1" s="1"/>
  <c r="L40" i="1" s="1"/>
  <c r="L42" i="1" s="1"/>
  <c r="M10" i="1"/>
  <c r="M13" i="1" l="1"/>
  <c r="M16" i="1" s="1"/>
  <c r="M22" i="1" s="1"/>
  <c r="M21" i="1"/>
  <c r="N10" i="1"/>
  <c r="M25" i="1" l="1"/>
  <c r="M37" i="1" s="1"/>
  <c r="M40" i="1" s="1"/>
  <c r="O10" i="1"/>
  <c r="N13" i="1"/>
  <c r="N16" i="1" s="1"/>
  <c r="N22" i="1" s="1"/>
  <c r="N21" i="1"/>
  <c r="M42" i="1" l="1"/>
  <c r="N25" i="1"/>
  <c r="N37" i="1" s="1"/>
  <c r="N40" i="1" s="1"/>
  <c r="N42" i="1" s="1"/>
  <c r="O21" i="1"/>
  <c r="P10" i="1"/>
  <c r="O13" i="1"/>
  <c r="O16" i="1" s="1"/>
  <c r="O22" i="1" s="1"/>
  <c r="P13" i="1" l="1"/>
  <c r="P16" i="1" s="1"/>
  <c r="P22" i="1" s="1"/>
  <c r="P21" i="1"/>
  <c r="O25" i="1"/>
  <c r="O37" i="1" s="1"/>
  <c r="O40" i="1" s="1"/>
  <c r="G49" i="1" s="1"/>
  <c r="P25" i="1" l="1"/>
  <c r="P37" i="1" s="1"/>
  <c r="O41" i="1" s="1"/>
  <c r="O42" i="1" l="1"/>
  <c r="G50" i="1"/>
  <c r="G51" i="1" l="1"/>
  <c r="G69" i="1" s="1"/>
  <c r="H57" i="1" l="1"/>
  <c r="H49" i="1"/>
  <c r="H50" i="1"/>
  <c r="H59" i="1" l="1"/>
  <c r="M49" i="1" s="1"/>
  <c r="M51" i="1" s="1"/>
  <c r="M57" i="1" s="1"/>
  <c r="M59" i="1" s="1"/>
  <c r="C76" i="1"/>
  <c r="H51" i="1"/>
</calcChain>
</file>

<file path=xl/sharedStrings.xml><?xml version="1.0" encoding="utf-8"?>
<sst xmlns="http://schemas.openxmlformats.org/spreadsheetml/2006/main" count="84" uniqueCount="56">
  <si>
    <t>Unlevered Free Cashflow</t>
  </si>
  <si>
    <t>All figures in USD thousands unless stated</t>
  </si>
  <si>
    <t>Profit Metrics</t>
  </si>
  <si>
    <t>EBITDA Growth</t>
  </si>
  <si>
    <t>EBITDA</t>
  </si>
  <si>
    <t>Term</t>
  </si>
  <si>
    <t>Tax Depreciation</t>
  </si>
  <si>
    <t>Operating Profit</t>
  </si>
  <si>
    <t>Tax Rate</t>
  </si>
  <si>
    <t>Current Tax</t>
  </si>
  <si>
    <t>Capital Expenditure</t>
  </si>
  <si>
    <t>Cash from Working Capital</t>
  </si>
  <si>
    <t>Unlevered Free Cash Flow</t>
  </si>
  <si>
    <t>Discounted Cash Flow Schedule</t>
  </si>
  <si>
    <t>Valuation</t>
  </si>
  <si>
    <t>Discrete Forecast</t>
  </si>
  <si>
    <t>YY-MM-DD</t>
  </si>
  <si>
    <t>Assumptions</t>
  </si>
  <si>
    <t>First Year of Forecast</t>
  </si>
  <si>
    <t>Terminal Growth</t>
  </si>
  <si>
    <t>WACC</t>
  </si>
  <si>
    <t>Total Cash Flow</t>
  </si>
  <si>
    <t>Cashflow Profiles</t>
  </si>
  <si>
    <t>Terminal Value</t>
  </si>
  <si>
    <t>Enterprise Value</t>
  </si>
  <si>
    <t>Equity Value</t>
  </si>
  <si>
    <t>PV of Discrete</t>
  </si>
  <si>
    <t>PV of Terminal Value</t>
  </si>
  <si>
    <t>Total</t>
  </si>
  <si>
    <t>Net Debt</t>
  </si>
  <si>
    <t>Equity Value per Share</t>
  </si>
  <si>
    <t>Share Outstanding</t>
  </si>
  <si>
    <t>(USD/ Share)</t>
  </si>
  <si>
    <t>('000)</t>
  </si>
  <si>
    <t>Premium/ Discount</t>
  </si>
  <si>
    <t>Current Price</t>
  </si>
  <si>
    <t>Premium (Discount)</t>
  </si>
  <si>
    <t>Sensitivity Analysis</t>
  </si>
  <si>
    <t>Terminal Growth Rate</t>
  </si>
  <si>
    <t>Shares Outstanding</t>
  </si>
  <si>
    <t>Premium (Discount) per Share</t>
  </si>
  <si>
    <t xml:space="preserve"> </t>
  </si>
  <si>
    <t>DCF and Sensitivity Analysis</t>
  </si>
  <si>
    <t>Cover Page</t>
  </si>
  <si>
    <t>Topic</t>
  </si>
  <si>
    <t>Financial Modeling</t>
  </si>
  <si>
    <t>Author</t>
  </si>
  <si>
    <t>Md Fozley Elahi</t>
  </si>
  <si>
    <t>MBA Candidate- 2027</t>
  </si>
  <si>
    <t>Miami Herbert Business School</t>
  </si>
  <si>
    <t>University of Miami</t>
  </si>
  <si>
    <t xml:space="preserve">LinkedIn: </t>
  </si>
  <si>
    <t>https://www.linkedin.com/in/mdfozleyelahi</t>
  </si>
  <si>
    <t>Website:</t>
  </si>
  <si>
    <t>https://fozleyelahi.com/</t>
  </si>
  <si>
    <t>DCF Modeling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</si>
</sst>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6" formatCode="&quot;$&quot;#,##0_);[Red]\(&quot;$&quot;#,##0\)"/>
    <numFmt numFmtId="43" formatCode="_(* #,##0.00_);_(* \(#,##0.00\);_(* &quot;-&quot;??_);_(@_)"/>
    <numFmt numFmtId="164" formatCode="0&quot; F&quot;"/>
    <numFmt numFmtId="165" formatCode="0&quot; A&quot;"/>
    <numFmt numFmtId="166" formatCode="_(#,##0_);\(#,##0\);_(&quot;–&quot;_);_(@_)"/>
    <numFmt numFmtId="167" formatCode="0.0%"/>
    <numFmt numFmtId="168" formatCode="_(* #,##0_);_(* \(#,##0\);_(* &quot;-&quot;??_);_(@_)"/>
    <numFmt numFmtId="169" formatCode="_(#,##0%_);\(#,##0%\);_(&quot;–&quot;_)_%;_(@_)_%"/>
    <numFmt numFmtId="170" formatCode="[$-409]d\-mmm\-yy;@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3271D2"/>
      <name val="Times New Roman"/>
      <family val="1"/>
    </font>
    <font>
      <sz val="11"/>
      <color rgb="FF3271D2"/>
      <name val="Times New Roman"/>
      <family val="1"/>
    </font>
    <font>
      <b/>
      <sz val="14"/>
      <color theme="1"/>
      <name val="Times New Roman"/>
      <family val="1"/>
    </font>
    <font>
      <sz val="8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1"/>
      <color theme="4"/>
      <name val="Times New Roman"/>
      <family val="1"/>
    </font>
    <font>
      <sz val="10"/>
      <color rgb="FF000000"/>
      <name val="Times New Roman"/>
      <family val="1"/>
    </font>
    <font>
      <sz val="11"/>
      <color theme="8"/>
      <name val="Times New Roman"/>
      <family val="1"/>
    </font>
    <font>
      <sz val="11"/>
      <color theme="0"/>
      <name val="Times New Roman"/>
      <family val="1"/>
    </font>
    <font>
      <sz val="22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u/>
      <sz val="12"/>
      <color theme="10"/>
      <name val="Times New Roman"/>
      <family val="1"/>
    </font>
    <font>
      <u/>
      <sz val="11"/>
      <color theme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hair">
        <color auto="1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/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142">
    <xf numFmtId="0" fontId="0" fillId="0" borderId="0" xfId="0"/>
    <xf numFmtId="0" fontId="2" fillId="0" borderId="0" xfId="0" applyFont="1"/>
    <xf numFmtId="164" fontId="2" fillId="0" borderId="0" xfId="0" applyNumberFormat="1" applyFont="1"/>
    <xf numFmtId="165" fontId="3" fillId="0" borderId="2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8" fontId="2" fillId="0" borderId="0" xfId="1" applyNumberFormat="1" applyFont="1" applyBorder="1"/>
    <xf numFmtId="9" fontId="2" fillId="0" borderId="0" xfId="2" applyFont="1" applyBorder="1"/>
    <xf numFmtId="9" fontId="5" fillId="0" borderId="0" xfId="2" applyFont="1" applyBorder="1" applyAlignment="1">
      <alignment horizontal="right"/>
    </xf>
    <xf numFmtId="168" fontId="5" fillId="0" borderId="0" xfId="1" applyNumberFormat="1" applyFont="1" applyBorder="1" applyAlignment="1">
      <alignment horizontal="right"/>
    </xf>
    <xf numFmtId="166" fontId="5" fillId="0" borderId="0" xfId="0" applyNumberFormat="1" applyFont="1" applyAlignment="1">
      <alignment horizontal="right"/>
    </xf>
    <xf numFmtId="168" fontId="2" fillId="0" borderId="0" xfId="0" applyNumberFormat="1" applyFont="1"/>
    <xf numFmtId="169" fontId="4" fillId="0" borderId="0" xfId="0" applyNumberFormat="1" applyFont="1" applyAlignment="1">
      <alignment horizontal="right"/>
    </xf>
    <xf numFmtId="166" fontId="4" fillId="0" borderId="0" xfId="0" applyNumberFormat="1" applyFont="1" applyAlignment="1">
      <alignment horizontal="right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7" fillId="0" borderId="8" xfId="0" applyFont="1" applyBorder="1"/>
    <xf numFmtId="0" fontId="3" fillId="0" borderId="5" xfId="0" applyFont="1" applyBorder="1"/>
    <xf numFmtId="0" fontId="3" fillId="0" borderId="6" xfId="0" applyFont="1" applyBorder="1"/>
    <xf numFmtId="170" fontId="2" fillId="0" borderId="8" xfId="0" applyNumberFormat="1" applyFont="1" applyBorder="1"/>
    <xf numFmtId="170" fontId="2" fillId="0" borderId="4" xfId="0" applyNumberFormat="1" applyFont="1" applyBorder="1"/>
    <xf numFmtId="0" fontId="2" fillId="0" borderId="11" xfId="0" applyFont="1" applyBorder="1"/>
    <xf numFmtId="0" fontId="2" fillId="0" borderId="13" xfId="0" applyFont="1" applyBorder="1"/>
    <xf numFmtId="0" fontId="2" fillId="0" borderId="15" xfId="0" applyFont="1" applyBorder="1"/>
    <xf numFmtId="0" fontId="2" fillId="0" borderId="2" xfId="0" applyFont="1" applyBorder="1"/>
    <xf numFmtId="0" fontId="2" fillId="0" borderId="16" xfId="0" applyFont="1" applyBorder="1"/>
    <xf numFmtId="0" fontId="2" fillId="0" borderId="18" xfId="0" applyFont="1" applyBorder="1"/>
    <xf numFmtId="38" fontId="2" fillId="0" borderId="8" xfId="0" applyNumberFormat="1" applyFont="1" applyBorder="1" applyAlignment="1">
      <alignment horizontal="center"/>
    </xf>
    <xf numFmtId="38" fontId="2" fillId="0" borderId="4" xfId="0" applyNumberFormat="1" applyFont="1" applyBorder="1" applyAlignment="1">
      <alignment horizontal="center"/>
    </xf>
    <xf numFmtId="0" fontId="3" fillId="0" borderId="0" xfId="0" applyFont="1"/>
    <xf numFmtId="38" fontId="2" fillId="0" borderId="0" xfId="0" applyNumberFormat="1" applyFont="1"/>
    <xf numFmtId="0" fontId="9" fillId="0" borderId="17" xfId="0" applyFont="1" applyBorder="1" applyAlignment="1">
      <alignment horizontal="left" indent="1"/>
    </xf>
    <xf numFmtId="0" fontId="9" fillId="0" borderId="8" xfId="0" applyFont="1" applyBorder="1" applyAlignment="1">
      <alignment horizontal="left" indent="1"/>
    </xf>
    <xf numFmtId="0" fontId="3" fillId="0" borderId="7" xfId="0" applyFont="1" applyBorder="1"/>
    <xf numFmtId="168" fontId="2" fillId="0" borderId="0" xfId="1" applyNumberFormat="1" applyFont="1" applyBorder="1" applyAlignment="1">
      <alignment horizontal="left"/>
    </xf>
    <xf numFmtId="168" fontId="2" fillId="0" borderId="18" xfId="1" applyNumberFormat="1" applyFont="1" applyBorder="1" applyAlignment="1">
      <alignment horizontal="left"/>
    </xf>
    <xf numFmtId="168" fontId="2" fillId="0" borderId="17" xfId="1" applyNumberFormat="1" applyFont="1" applyBorder="1" applyAlignment="1">
      <alignment horizontal="left"/>
    </xf>
    <xf numFmtId="0" fontId="7" fillId="0" borderId="4" xfId="0" applyFont="1" applyBorder="1" applyAlignment="1">
      <alignment horizontal="center"/>
    </xf>
    <xf numFmtId="168" fontId="3" fillId="0" borderId="19" xfId="0" applyNumberFormat="1" applyFont="1" applyBorder="1" applyAlignment="1">
      <alignment horizontal="left"/>
    </xf>
    <xf numFmtId="168" fontId="3" fillId="0" borderId="1" xfId="0" applyNumberFormat="1" applyFont="1" applyBorder="1" applyAlignment="1">
      <alignment horizontal="left"/>
    </xf>
    <xf numFmtId="168" fontId="3" fillId="0" borderId="20" xfId="0" applyNumberFormat="1" applyFont="1" applyBorder="1" applyAlignment="1">
      <alignment horizontal="left"/>
    </xf>
    <xf numFmtId="9" fontId="2" fillId="0" borderId="14" xfId="2" applyFont="1" applyBorder="1"/>
    <xf numFmtId="9" fontId="2" fillId="0" borderId="16" xfId="2" applyFont="1" applyBorder="1"/>
    <xf numFmtId="9" fontId="3" fillId="0" borderId="16" xfId="2" applyFont="1" applyBorder="1"/>
    <xf numFmtId="6" fontId="2" fillId="0" borderId="14" xfId="0" applyNumberFormat="1" applyFont="1" applyBorder="1"/>
    <xf numFmtId="6" fontId="3" fillId="0" borderId="16" xfId="0" applyNumberFormat="1" applyFont="1" applyBorder="1"/>
    <xf numFmtId="9" fontId="10" fillId="0" borderId="18" xfId="0" applyNumberFormat="1" applyFont="1" applyBorder="1"/>
    <xf numFmtId="10" fontId="10" fillId="0" borderId="9" xfId="0" applyNumberFormat="1" applyFont="1" applyBorder="1"/>
    <xf numFmtId="0" fontId="10" fillId="0" borderId="14" xfId="0" applyFont="1" applyBorder="1"/>
    <xf numFmtId="0" fontId="3" fillId="0" borderId="15" xfId="0" applyFont="1" applyBorder="1"/>
    <xf numFmtId="0" fontId="3" fillId="0" borderId="2" xfId="0" applyFont="1" applyBorder="1"/>
    <xf numFmtId="168" fontId="2" fillId="0" borderId="14" xfId="1" applyNumberFormat="1" applyFont="1" applyBorder="1"/>
    <xf numFmtId="43" fontId="3" fillId="0" borderId="16" xfId="1" applyFont="1" applyBorder="1"/>
    <xf numFmtId="5" fontId="10" fillId="0" borderId="21" xfId="0" applyNumberFormat="1" applyFont="1" applyBorder="1"/>
    <xf numFmtId="168" fontId="10" fillId="0" borderId="21" xfId="1" applyNumberFormat="1" applyFont="1" applyBorder="1"/>
    <xf numFmtId="6" fontId="2" fillId="0" borderId="0" xfId="0" applyNumberFormat="1" applyFont="1"/>
    <xf numFmtId="6" fontId="2" fillId="0" borderId="4" xfId="0" applyNumberFormat="1" applyFont="1" applyBorder="1"/>
    <xf numFmtId="6" fontId="3" fillId="0" borderId="2" xfId="0" applyNumberFormat="1" applyFont="1" applyBorder="1"/>
    <xf numFmtId="43" fontId="2" fillId="0" borderId="14" xfId="0" applyNumberFormat="1" applyFont="1" applyBorder="1"/>
    <xf numFmtId="0" fontId="11" fillId="0" borderId="10" xfId="0" applyFont="1" applyBorder="1" applyAlignment="1">
      <alignment horizontal="left"/>
    </xf>
    <xf numFmtId="9" fontId="2" fillId="0" borderId="12" xfId="0" applyNumberFormat="1" applyFont="1" applyBorder="1"/>
    <xf numFmtId="0" fontId="11" fillId="0" borderId="13" xfId="0" applyFont="1" applyBorder="1" applyAlignment="1">
      <alignment horizontal="left"/>
    </xf>
    <xf numFmtId="10" fontId="2" fillId="0" borderId="14" xfId="0" applyNumberFormat="1" applyFont="1" applyBorder="1"/>
    <xf numFmtId="0" fontId="8" fillId="0" borderId="1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5" fontId="2" fillId="0" borderId="16" xfId="0" applyNumberFormat="1" applyFont="1" applyBorder="1"/>
    <xf numFmtId="0" fontId="8" fillId="0" borderId="10" xfId="0" applyFont="1" applyBorder="1" applyAlignment="1">
      <alignment horizontal="left"/>
    </xf>
    <xf numFmtId="168" fontId="2" fillId="0" borderId="12" xfId="0" applyNumberFormat="1" applyFont="1" applyBorder="1"/>
    <xf numFmtId="6" fontId="2" fillId="0" borderId="5" xfId="0" applyNumberFormat="1" applyFont="1" applyBorder="1"/>
    <xf numFmtId="167" fontId="2" fillId="0" borderId="6" xfId="0" applyNumberFormat="1" applyFont="1" applyBorder="1"/>
    <xf numFmtId="167" fontId="12" fillId="0" borderId="6" xfId="0" applyNumberFormat="1" applyFont="1" applyBorder="1"/>
    <xf numFmtId="167" fontId="2" fillId="0" borderId="7" xfId="0" applyNumberFormat="1" applyFont="1" applyBorder="1"/>
    <xf numFmtId="167" fontId="2" fillId="0" borderId="17" xfId="0" applyNumberFormat="1" applyFont="1" applyBorder="1"/>
    <xf numFmtId="167" fontId="12" fillId="0" borderId="17" xfId="0" applyNumberFormat="1" applyFont="1" applyBorder="1"/>
    <xf numFmtId="167" fontId="2" fillId="0" borderId="8" xfId="0" applyNumberFormat="1" applyFont="1" applyBorder="1"/>
    <xf numFmtId="168" fontId="2" fillId="3" borderId="0" xfId="1" applyNumberFormat="1" applyFont="1" applyFill="1" applyBorder="1"/>
    <xf numFmtId="6" fontId="13" fillId="0" borderId="5" xfId="0" applyNumberFormat="1" applyFont="1" applyBorder="1"/>
    <xf numFmtId="168" fontId="2" fillId="3" borderId="18" xfId="1" applyNumberFormat="1" applyFont="1" applyFill="1" applyBorder="1"/>
    <xf numFmtId="168" fontId="2" fillId="3" borderId="4" xfId="1" applyNumberFormat="1" applyFont="1" applyFill="1" applyBorder="1"/>
    <xf numFmtId="168" fontId="2" fillId="3" borderId="9" xfId="1" applyNumberFormat="1" applyFont="1" applyFill="1" applyBorder="1"/>
    <xf numFmtId="168" fontId="2" fillId="3" borderId="0" xfId="0" applyNumberFormat="1" applyFont="1" applyFill="1"/>
    <xf numFmtId="168" fontId="2" fillId="3" borderId="18" xfId="0" applyNumberFormat="1" applyFont="1" applyFill="1" applyBorder="1"/>
    <xf numFmtId="168" fontId="2" fillId="3" borderId="4" xfId="0" applyNumberFormat="1" applyFont="1" applyFill="1" applyBorder="1"/>
    <xf numFmtId="168" fontId="2" fillId="3" borderId="9" xfId="0" applyNumberFormat="1" applyFont="1" applyFill="1" applyBorder="1"/>
    <xf numFmtId="2" fontId="2" fillId="3" borderId="0" xfId="0" applyNumberFormat="1" applyFont="1" applyFill="1"/>
    <xf numFmtId="2" fontId="2" fillId="3" borderId="18" xfId="0" applyNumberFormat="1" applyFont="1" applyFill="1" applyBorder="1"/>
    <xf numFmtId="2" fontId="2" fillId="3" borderId="4" xfId="0" applyNumberFormat="1" applyFont="1" applyFill="1" applyBorder="1"/>
    <xf numFmtId="2" fontId="2" fillId="3" borderId="9" xfId="0" applyNumberFormat="1" applyFont="1" applyFill="1" applyBorder="1"/>
    <xf numFmtId="9" fontId="2" fillId="3" borderId="0" xfId="2" applyFont="1" applyFill="1" applyBorder="1"/>
    <xf numFmtId="9" fontId="2" fillId="3" borderId="18" xfId="2" applyFont="1" applyFill="1" applyBorder="1"/>
    <xf numFmtId="9" fontId="2" fillId="3" borderId="4" xfId="2" applyFont="1" applyFill="1" applyBorder="1"/>
    <xf numFmtId="9" fontId="2" fillId="3" borderId="9" xfId="2" applyFont="1" applyFill="1" applyBorder="1"/>
    <xf numFmtId="0" fontId="2" fillId="0" borderId="14" xfId="0" applyFont="1" applyBorder="1"/>
    <xf numFmtId="0" fontId="6" fillId="2" borderId="13" xfId="0" applyFont="1" applyFill="1" applyBorder="1"/>
    <xf numFmtId="0" fontId="2" fillId="2" borderId="0" xfId="0" applyFont="1" applyFill="1"/>
    <xf numFmtId="0" fontId="2" fillId="2" borderId="14" xfId="0" applyFont="1" applyFill="1" applyBorder="1"/>
    <xf numFmtId="0" fontId="3" fillId="0" borderId="22" xfId="0" applyFont="1" applyBorder="1" applyAlignment="1">
      <alignment horizontal="center"/>
    </xf>
    <xf numFmtId="0" fontId="3" fillId="0" borderId="13" xfId="0" applyFont="1" applyBorder="1"/>
    <xf numFmtId="9" fontId="5" fillId="0" borderId="14" xfId="2" applyFont="1" applyBorder="1" applyAlignment="1">
      <alignment horizontal="right"/>
    </xf>
    <xf numFmtId="166" fontId="5" fillId="0" borderId="14" xfId="0" applyNumberFormat="1" applyFont="1" applyBorder="1" applyAlignment="1">
      <alignment horizontal="right"/>
    </xf>
    <xf numFmtId="168" fontId="2" fillId="0" borderId="14" xfId="0" applyNumberFormat="1" applyFont="1" applyBorder="1"/>
    <xf numFmtId="169" fontId="4" fillId="0" borderId="14" xfId="0" applyNumberFormat="1" applyFont="1" applyBorder="1" applyAlignment="1">
      <alignment horizontal="right"/>
    </xf>
    <xf numFmtId="0" fontId="2" fillId="0" borderId="23" xfId="0" applyFont="1" applyBorder="1"/>
    <xf numFmtId="0" fontId="2" fillId="0" borderId="21" xfId="0" applyFont="1" applyBorder="1"/>
    <xf numFmtId="38" fontId="2" fillId="0" borderId="14" xfId="0" applyNumberFormat="1" applyFont="1" applyBorder="1"/>
    <xf numFmtId="37" fontId="2" fillId="0" borderId="0" xfId="0" applyNumberFormat="1" applyFont="1"/>
    <xf numFmtId="37" fontId="2" fillId="0" borderId="14" xfId="0" applyNumberFormat="1" applyFont="1" applyBorder="1"/>
    <xf numFmtId="38" fontId="3" fillId="0" borderId="0" xfId="0" applyNumberFormat="1" applyFont="1"/>
    <xf numFmtId="38" fontId="3" fillId="0" borderId="14" xfId="0" applyNumberFormat="1" applyFont="1" applyBorder="1"/>
    <xf numFmtId="0" fontId="3" fillId="0" borderId="24" xfId="0" applyFont="1" applyBorder="1"/>
    <xf numFmtId="0" fontId="7" fillId="0" borderId="25" xfId="0" applyFont="1" applyBorder="1" applyAlignment="1">
      <alignment horizontal="center"/>
    </xf>
    <xf numFmtId="0" fontId="3" fillId="0" borderId="26" xfId="0" applyFont="1" applyBorder="1"/>
    <xf numFmtId="170" fontId="2" fillId="0" borderId="25" xfId="0" applyNumberFormat="1" applyFont="1" applyBorder="1"/>
    <xf numFmtId="38" fontId="2" fillId="0" borderId="25" xfId="0" applyNumberFormat="1" applyFont="1" applyBorder="1" applyAlignment="1">
      <alignment horizontal="center"/>
    </xf>
    <xf numFmtId="0" fontId="3" fillId="0" borderId="14" xfId="0" applyFont="1" applyBorder="1"/>
    <xf numFmtId="0" fontId="3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4" fillId="4" borderId="1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6" fillId="4" borderId="10" xfId="0" applyFont="1" applyFill="1" applyBorder="1"/>
    <xf numFmtId="0" fontId="16" fillId="4" borderId="11" xfId="0" applyFont="1" applyFill="1" applyBorder="1"/>
    <xf numFmtId="0" fontId="17" fillId="4" borderId="11" xfId="0" applyFont="1" applyFill="1" applyBorder="1"/>
    <xf numFmtId="0" fontId="16" fillId="4" borderId="12" xfId="0" applyFont="1" applyFill="1" applyBorder="1"/>
    <xf numFmtId="0" fontId="16" fillId="0" borderId="13" xfId="0" applyFont="1" applyBorder="1"/>
    <xf numFmtId="0" fontId="16" fillId="0" borderId="0" xfId="0" applyFont="1"/>
    <xf numFmtId="0" fontId="16" fillId="0" borderId="14" xfId="0" applyFont="1" applyBorder="1"/>
    <xf numFmtId="0" fontId="17" fillId="0" borderId="13" xfId="0" applyFont="1" applyBorder="1"/>
    <xf numFmtId="0" fontId="18" fillId="0" borderId="0" xfId="3" applyFont="1" applyBorder="1"/>
    <xf numFmtId="0" fontId="16" fillId="4" borderId="13" xfId="0" applyFont="1" applyFill="1" applyBorder="1"/>
    <xf numFmtId="0" fontId="16" fillId="4" borderId="0" xfId="0" applyFont="1" applyFill="1"/>
    <xf numFmtId="0" fontId="16" fillId="4" borderId="14" xfId="0" applyFont="1" applyFill="1" applyBorder="1"/>
    <xf numFmtId="0" fontId="16" fillId="4" borderId="15" xfId="0" applyFont="1" applyFill="1" applyBorder="1"/>
    <xf numFmtId="0" fontId="16" fillId="4" borderId="2" xfId="0" applyFont="1" applyFill="1" applyBorder="1"/>
    <xf numFmtId="0" fontId="16" fillId="4" borderId="16" xfId="0" applyFont="1" applyFill="1" applyBorder="1"/>
    <xf numFmtId="0" fontId="19" fillId="0" borderId="0" xfId="3" applyFont="1" applyBorder="1"/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fozleyelahi.com/" TargetMode="External"/><Relationship Id="rId1" Type="http://schemas.openxmlformats.org/officeDocument/2006/relationships/hyperlink" Target="https://www.linkedin.com/public-profile/setting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12040-868D-41A1-8E98-77283AEA1909}">
  <dimension ref="B2:I31"/>
  <sheetViews>
    <sheetView showGridLines="0" tabSelected="1" workbookViewId="0">
      <selection activeCell="K14" sqref="K14"/>
    </sheetView>
  </sheetViews>
  <sheetFormatPr defaultRowHeight="13.8" x14ac:dyDescent="0.25"/>
  <cols>
    <col min="1" max="16384" width="8.88671875" style="1"/>
  </cols>
  <sheetData>
    <row r="2" spans="2:9" ht="14.4" thickBot="1" x14ac:dyDescent="0.3"/>
    <row r="3" spans="2:9" ht="16.2" thickBot="1" x14ac:dyDescent="0.35">
      <c r="B3" s="126"/>
      <c r="C3" s="127"/>
      <c r="D3" s="127"/>
      <c r="E3" s="128" t="s">
        <v>43</v>
      </c>
      <c r="F3" s="127"/>
      <c r="G3" s="127"/>
      <c r="H3" s="127"/>
      <c r="I3" s="129"/>
    </row>
    <row r="4" spans="2:9" ht="15.6" x14ac:dyDescent="0.3">
      <c r="B4" s="126"/>
      <c r="C4" s="127"/>
      <c r="D4" s="127"/>
      <c r="E4" s="127"/>
      <c r="F4" s="127"/>
      <c r="G4" s="127"/>
      <c r="H4" s="127"/>
      <c r="I4" s="129"/>
    </row>
    <row r="5" spans="2:9" ht="15.6" x14ac:dyDescent="0.3">
      <c r="B5" s="130"/>
      <c r="C5" s="131"/>
      <c r="D5" s="131"/>
      <c r="E5" s="131"/>
      <c r="F5" s="131"/>
      <c r="G5" s="131"/>
      <c r="H5" s="131"/>
      <c r="I5" s="132"/>
    </row>
    <row r="6" spans="2:9" ht="15.6" x14ac:dyDescent="0.3">
      <c r="B6" s="130"/>
      <c r="C6" s="131"/>
      <c r="D6" s="131"/>
      <c r="E6" s="131"/>
      <c r="F6" s="131"/>
      <c r="G6" s="131"/>
      <c r="H6" s="131"/>
      <c r="I6" s="132"/>
    </row>
    <row r="7" spans="2:9" ht="15.6" x14ac:dyDescent="0.3">
      <c r="B7" s="133" t="s">
        <v>44</v>
      </c>
      <c r="C7" s="131" t="s">
        <v>55</v>
      </c>
      <c r="D7" s="131"/>
      <c r="E7" s="131"/>
      <c r="F7" s="131"/>
      <c r="G7" s="131"/>
      <c r="H7" s="131"/>
      <c r="I7" s="132"/>
    </row>
    <row r="8" spans="2:9" ht="15.6" x14ac:dyDescent="0.3">
      <c r="B8" s="130"/>
      <c r="C8" s="131" t="s">
        <v>45</v>
      </c>
      <c r="D8" s="131"/>
      <c r="E8" s="131"/>
      <c r="F8" s="131"/>
      <c r="G8" s="131"/>
      <c r="H8" s="131"/>
      <c r="I8" s="132"/>
    </row>
    <row r="9" spans="2:9" ht="15.6" x14ac:dyDescent="0.3">
      <c r="B9" s="130"/>
      <c r="C9" s="131"/>
      <c r="D9" s="131"/>
      <c r="E9" s="131"/>
      <c r="F9" s="131"/>
      <c r="G9" s="131"/>
      <c r="H9" s="131"/>
      <c r="I9" s="132"/>
    </row>
    <row r="10" spans="2:9" ht="15.6" x14ac:dyDescent="0.3">
      <c r="B10" s="130"/>
      <c r="C10" s="131"/>
      <c r="D10" s="131"/>
      <c r="E10" s="131"/>
      <c r="F10" s="131"/>
      <c r="G10" s="131"/>
      <c r="H10" s="131"/>
      <c r="I10" s="132"/>
    </row>
    <row r="11" spans="2:9" ht="15.6" x14ac:dyDescent="0.3">
      <c r="B11" s="133"/>
      <c r="C11" s="131"/>
      <c r="D11" s="131"/>
      <c r="E11" s="131"/>
      <c r="F11" s="131"/>
      <c r="G11" s="131"/>
      <c r="H11" s="131"/>
      <c r="I11" s="132"/>
    </row>
    <row r="12" spans="2:9" ht="15.6" x14ac:dyDescent="0.3">
      <c r="B12" s="130"/>
      <c r="C12" s="131"/>
      <c r="D12" s="131"/>
      <c r="E12" s="131"/>
      <c r="F12" s="131"/>
      <c r="G12" s="131"/>
      <c r="H12" s="131"/>
      <c r="I12" s="132"/>
    </row>
    <row r="13" spans="2:9" ht="15.6" x14ac:dyDescent="0.3">
      <c r="B13" s="130"/>
      <c r="C13" s="131"/>
      <c r="D13" s="131"/>
      <c r="E13" s="131"/>
      <c r="F13" s="131"/>
      <c r="G13" s="131"/>
      <c r="H13" s="131"/>
      <c r="I13" s="132"/>
    </row>
    <row r="14" spans="2:9" ht="15.6" x14ac:dyDescent="0.3">
      <c r="B14" s="130"/>
      <c r="C14" s="131"/>
      <c r="D14" s="131"/>
      <c r="E14" s="131"/>
      <c r="F14" s="131"/>
      <c r="G14" s="131"/>
      <c r="H14" s="131"/>
      <c r="I14" s="132"/>
    </row>
    <row r="15" spans="2:9" ht="15.6" x14ac:dyDescent="0.3">
      <c r="B15" s="130"/>
      <c r="C15" s="131"/>
      <c r="D15" s="131"/>
      <c r="E15" s="131"/>
      <c r="F15" s="131"/>
      <c r="G15" s="131"/>
      <c r="H15" s="131"/>
      <c r="I15" s="132"/>
    </row>
    <row r="16" spans="2:9" ht="15.6" x14ac:dyDescent="0.3">
      <c r="B16" s="130"/>
      <c r="C16" s="131"/>
      <c r="D16" s="131"/>
      <c r="E16" s="131"/>
      <c r="F16" s="131"/>
      <c r="G16" s="131"/>
      <c r="H16" s="131"/>
      <c r="I16" s="132"/>
    </row>
    <row r="17" spans="2:9" ht="15.6" x14ac:dyDescent="0.3">
      <c r="B17" s="130"/>
      <c r="C17" s="131"/>
      <c r="D17" s="131"/>
      <c r="E17" s="131"/>
      <c r="F17" s="131"/>
      <c r="G17" s="131"/>
      <c r="H17" s="131"/>
      <c r="I17" s="132"/>
    </row>
    <row r="18" spans="2:9" ht="15.6" x14ac:dyDescent="0.3">
      <c r="B18" s="130"/>
      <c r="C18" s="131"/>
      <c r="D18" s="131"/>
      <c r="E18" s="131"/>
      <c r="F18" s="131"/>
      <c r="G18" s="131"/>
      <c r="H18" s="131"/>
      <c r="I18" s="132"/>
    </row>
    <row r="19" spans="2:9" ht="15.6" x14ac:dyDescent="0.3">
      <c r="B19" s="130"/>
      <c r="C19" s="131"/>
      <c r="D19" s="131"/>
      <c r="E19" s="131"/>
      <c r="F19" s="131"/>
      <c r="G19" s="131"/>
      <c r="H19" s="131"/>
      <c r="I19" s="132"/>
    </row>
    <row r="20" spans="2:9" ht="15.6" x14ac:dyDescent="0.3">
      <c r="B20" s="133" t="s">
        <v>46</v>
      </c>
      <c r="C20" s="131"/>
      <c r="D20" s="131"/>
      <c r="E20" s="131"/>
      <c r="F20" s="131"/>
      <c r="G20" s="131"/>
      <c r="H20" s="131"/>
      <c r="I20" s="132"/>
    </row>
    <row r="21" spans="2:9" ht="15.6" x14ac:dyDescent="0.3">
      <c r="B21" s="130"/>
      <c r="C21" s="131"/>
      <c r="D21" s="131"/>
      <c r="E21" s="131"/>
      <c r="F21" s="131"/>
      <c r="G21" s="131"/>
      <c r="H21" s="131"/>
      <c r="I21" s="132"/>
    </row>
    <row r="22" spans="2:9" ht="15.6" x14ac:dyDescent="0.3">
      <c r="B22" s="130" t="s">
        <v>47</v>
      </c>
      <c r="C22" s="131"/>
      <c r="D22" s="131"/>
      <c r="E22" s="131"/>
      <c r="F22" s="131"/>
      <c r="G22" s="131"/>
      <c r="H22" s="131"/>
      <c r="I22" s="132"/>
    </row>
    <row r="23" spans="2:9" ht="15.6" x14ac:dyDescent="0.3">
      <c r="B23" s="130" t="s">
        <v>48</v>
      </c>
      <c r="C23" s="131"/>
      <c r="D23" s="131"/>
      <c r="E23" s="131"/>
      <c r="F23" s="131"/>
      <c r="G23" s="131"/>
      <c r="H23" s="131"/>
      <c r="I23" s="132"/>
    </row>
    <row r="24" spans="2:9" ht="15.6" x14ac:dyDescent="0.3">
      <c r="B24" s="130" t="s">
        <v>49</v>
      </c>
      <c r="C24" s="131"/>
      <c r="D24" s="131"/>
      <c r="E24" s="131"/>
      <c r="F24" s="131"/>
      <c r="G24" s="131"/>
      <c r="H24" s="131"/>
      <c r="I24" s="132"/>
    </row>
    <row r="25" spans="2:9" ht="15.6" x14ac:dyDescent="0.3">
      <c r="B25" s="130" t="s">
        <v>50</v>
      </c>
      <c r="C25" s="131"/>
      <c r="D25" s="131"/>
      <c r="E25" s="131"/>
      <c r="F25" s="131"/>
      <c r="G25" s="131"/>
      <c r="H25" s="131"/>
      <c r="I25" s="132"/>
    </row>
    <row r="26" spans="2:9" ht="15.6" x14ac:dyDescent="0.3">
      <c r="B26" s="130"/>
      <c r="C26" s="131"/>
      <c r="D26" s="131"/>
      <c r="E26" s="131"/>
      <c r="F26" s="131"/>
      <c r="G26" s="131"/>
      <c r="H26" s="131"/>
      <c r="I26" s="132"/>
    </row>
    <row r="27" spans="2:9" ht="15.6" x14ac:dyDescent="0.3">
      <c r="B27" s="130" t="s">
        <v>51</v>
      </c>
      <c r="C27" s="134" t="s">
        <v>52</v>
      </c>
      <c r="D27" s="131"/>
      <c r="E27" s="131"/>
      <c r="F27" s="131"/>
      <c r="G27" s="131"/>
      <c r="H27" s="131"/>
      <c r="I27" s="132"/>
    </row>
    <row r="28" spans="2:9" ht="15.6" x14ac:dyDescent="0.3">
      <c r="B28" s="130" t="s">
        <v>53</v>
      </c>
      <c r="C28" s="141" t="s">
        <v>54</v>
      </c>
      <c r="D28" s="131"/>
      <c r="E28" s="131"/>
      <c r="F28" s="131"/>
      <c r="G28" s="131"/>
      <c r="H28" s="131"/>
      <c r="I28" s="132"/>
    </row>
    <row r="29" spans="2:9" ht="15.6" x14ac:dyDescent="0.3">
      <c r="B29" s="130"/>
      <c r="C29" s="131"/>
      <c r="D29" s="131"/>
      <c r="E29" s="131"/>
      <c r="F29" s="131"/>
      <c r="G29" s="131"/>
      <c r="H29" s="131"/>
      <c r="I29" s="132"/>
    </row>
    <row r="30" spans="2:9" ht="15.6" x14ac:dyDescent="0.3">
      <c r="B30" s="135"/>
      <c r="C30" s="136"/>
      <c r="D30" s="136"/>
      <c r="E30" s="136"/>
      <c r="F30" s="136"/>
      <c r="G30" s="136"/>
      <c r="H30" s="136"/>
      <c r="I30" s="137"/>
    </row>
    <row r="31" spans="2:9" ht="16.2" thickBot="1" x14ac:dyDescent="0.35">
      <c r="B31" s="138"/>
      <c r="C31" s="139"/>
      <c r="D31" s="139"/>
      <c r="E31" s="139"/>
      <c r="F31" s="139"/>
      <c r="G31" s="139"/>
      <c r="H31" s="139"/>
      <c r="I31" s="140"/>
    </row>
  </sheetData>
  <hyperlinks>
    <hyperlink ref="C27" r:id="rId1" display="https://www.linkedin.com/public-profile/settings" xr:uid="{851855D7-4D17-4F46-A0A5-C71F3FB2CBA1}"/>
    <hyperlink ref="C28" r:id="rId2" xr:uid="{2C670416-B0A9-41E3-B106-A27D3D748AF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8"/>
  <sheetViews>
    <sheetView showGridLines="0" workbookViewId="0">
      <selection activeCell="F104" sqref="F104"/>
    </sheetView>
  </sheetViews>
  <sheetFormatPr defaultRowHeight="13.8" outlineLevelRow="1" x14ac:dyDescent="0.25"/>
  <cols>
    <col min="1" max="1" width="8.88671875" style="1"/>
    <col min="2" max="2" width="3.109375" style="1" customWidth="1"/>
    <col min="3" max="3" width="9.21875" style="1" bestFit="1" customWidth="1"/>
    <col min="4" max="6" width="11.44140625" style="1" bestFit="1" customWidth="1"/>
    <col min="7" max="8" width="11.88671875" style="1" bestFit="1" customWidth="1"/>
    <col min="9" max="10" width="10.88671875" style="1" bestFit="1" customWidth="1"/>
    <col min="11" max="11" width="10.5546875" style="1" bestFit="1" customWidth="1"/>
    <col min="12" max="12" width="12" style="1" bestFit="1" customWidth="1"/>
    <col min="13" max="13" width="11.44140625" style="1" bestFit="1" customWidth="1"/>
    <col min="14" max="14" width="10.5546875" style="1" bestFit="1" customWidth="1"/>
    <col min="15" max="15" width="11.44140625" style="1" bestFit="1" customWidth="1"/>
    <col min="16" max="16" width="10.44140625" style="1" bestFit="1" customWidth="1"/>
    <col min="17" max="16384" width="8.88671875" style="1"/>
  </cols>
  <sheetData>
    <row r="1" spans="1:16" ht="14.4" customHeight="1" thickBot="1" x14ac:dyDescent="0.3"/>
    <row r="2" spans="1:16" ht="28.2" x14ac:dyDescent="0.5">
      <c r="B2" s="118" t="s">
        <v>42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20"/>
    </row>
    <row r="3" spans="1:16" x14ac:dyDescent="0.25">
      <c r="B3" s="23"/>
      <c r="P3" s="93"/>
    </row>
    <row r="4" spans="1:16" ht="17.399999999999999" x14ac:dyDescent="0.3">
      <c r="A4" s="1" t="s">
        <v>41</v>
      </c>
      <c r="B4" s="94" t="s">
        <v>0</v>
      </c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6"/>
    </row>
    <row r="5" spans="1:16" outlineLevel="1" x14ac:dyDescent="0.25">
      <c r="B5" s="23"/>
      <c r="P5" s="93"/>
    </row>
    <row r="6" spans="1:16" ht="14.4" outlineLevel="1" thickBot="1" x14ac:dyDescent="0.3">
      <c r="B6" s="23" t="s">
        <v>1</v>
      </c>
      <c r="G6" s="2"/>
      <c r="H6" s="3">
        <f>I6-1</f>
        <v>2024</v>
      </c>
      <c r="I6" s="3">
        <f>J6-1</f>
        <v>2025</v>
      </c>
      <c r="J6" s="3">
        <f>K6-1</f>
        <v>2026</v>
      </c>
      <c r="K6" s="4">
        <v>2027</v>
      </c>
      <c r="L6" s="4">
        <f>K6+1</f>
        <v>2028</v>
      </c>
      <c r="M6" s="4">
        <f t="shared" ref="M6:O6" si="0">L6+1</f>
        <v>2029</v>
      </c>
      <c r="N6" s="4">
        <f t="shared" si="0"/>
        <v>2030</v>
      </c>
      <c r="O6" s="4">
        <f t="shared" si="0"/>
        <v>2031</v>
      </c>
      <c r="P6" s="97" t="s">
        <v>5</v>
      </c>
    </row>
    <row r="7" spans="1:16" outlineLevel="1" x14ac:dyDescent="0.25">
      <c r="B7" s="23"/>
      <c r="P7" s="93"/>
    </row>
    <row r="8" spans="1:16" outlineLevel="1" x14ac:dyDescent="0.25">
      <c r="B8" s="98" t="s">
        <v>2</v>
      </c>
      <c r="P8" s="93"/>
    </row>
    <row r="9" spans="1:16" outlineLevel="1" x14ac:dyDescent="0.25">
      <c r="B9" s="23"/>
      <c r="C9" s="1" t="s">
        <v>3</v>
      </c>
      <c r="H9" s="5"/>
      <c r="I9" s="6">
        <f>I10/H10-1</f>
        <v>5.4225395457622838E-2</v>
      </c>
      <c r="J9" s="6">
        <f>J10/I10-1</f>
        <v>7.3038299859878641E-2</v>
      </c>
      <c r="K9" s="7">
        <v>7.4999999999999997E-2</v>
      </c>
      <c r="L9" s="7">
        <v>7.0000000000000007E-2</v>
      </c>
      <c r="M9" s="7">
        <v>0.06</v>
      </c>
      <c r="N9" s="7">
        <v>0.05</v>
      </c>
      <c r="O9" s="7">
        <v>0.04</v>
      </c>
      <c r="P9" s="99">
        <v>2.5000000000000001E-2</v>
      </c>
    </row>
    <row r="10" spans="1:16" outlineLevel="1" x14ac:dyDescent="0.25">
      <c r="B10" s="23"/>
      <c r="C10" s="1" t="s">
        <v>4</v>
      </c>
      <c r="H10" s="8">
        <v>16247</v>
      </c>
      <c r="I10" s="8">
        <v>17128</v>
      </c>
      <c r="J10" s="8">
        <v>18379</v>
      </c>
      <c r="K10" s="5">
        <f>J10*(1+K9)</f>
        <v>19757.424999999999</v>
      </c>
      <c r="L10" s="5">
        <f t="shared" ref="L10:P10" si="1">K10*(1+L9)</f>
        <v>21140.444749999999</v>
      </c>
      <c r="M10" s="5">
        <f t="shared" si="1"/>
        <v>22408.871435000001</v>
      </c>
      <c r="N10" s="5">
        <f t="shared" si="1"/>
        <v>23529.315006750003</v>
      </c>
      <c r="O10" s="5">
        <f t="shared" si="1"/>
        <v>24470.487607020004</v>
      </c>
      <c r="P10" s="52">
        <f t="shared" si="1"/>
        <v>25082.249797195502</v>
      </c>
    </row>
    <row r="11" spans="1:16" outlineLevel="1" x14ac:dyDescent="0.25">
      <c r="B11" s="23"/>
      <c r="P11" s="93"/>
    </row>
    <row r="12" spans="1:16" outlineLevel="1" x14ac:dyDescent="0.25">
      <c r="B12" s="23"/>
      <c r="C12" s="1" t="s">
        <v>6</v>
      </c>
      <c r="H12" s="9">
        <v>2960</v>
      </c>
      <c r="I12" s="9">
        <v>3196</v>
      </c>
      <c r="J12" s="9">
        <v>3452</v>
      </c>
      <c r="K12" s="9">
        <v>3700</v>
      </c>
      <c r="L12" s="9">
        <v>3700</v>
      </c>
      <c r="M12" s="9">
        <v>3700</v>
      </c>
      <c r="N12" s="9">
        <v>3700</v>
      </c>
      <c r="O12" s="9">
        <v>3700</v>
      </c>
      <c r="P12" s="100">
        <v>3700</v>
      </c>
    </row>
    <row r="13" spans="1:16" outlineLevel="1" x14ac:dyDescent="0.25">
      <c r="B13" s="23"/>
      <c r="C13" s="1" t="s">
        <v>7</v>
      </c>
      <c r="H13" s="10">
        <f>H10-H12</f>
        <v>13287</v>
      </c>
      <c r="I13" s="10">
        <f t="shared" ref="I13:P13" si="2">I10-I12</f>
        <v>13932</v>
      </c>
      <c r="J13" s="10">
        <f t="shared" si="2"/>
        <v>14927</v>
      </c>
      <c r="K13" s="10">
        <f t="shared" si="2"/>
        <v>16057.424999999999</v>
      </c>
      <c r="L13" s="10">
        <f t="shared" si="2"/>
        <v>17440.444749999999</v>
      </c>
      <c r="M13" s="10">
        <f t="shared" si="2"/>
        <v>18708.871435000001</v>
      </c>
      <c r="N13" s="10">
        <f t="shared" si="2"/>
        <v>19829.315006750003</v>
      </c>
      <c r="O13" s="10">
        <f t="shared" si="2"/>
        <v>20770.487607020004</v>
      </c>
      <c r="P13" s="101">
        <f t="shared" si="2"/>
        <v>21382.249797195502</v>
      </c>
    </row>
    <row r="14" spans="1:16" outlineLevel="1" x14ac:dyDescent="0.25">
      <c r="B14" s="23"/>
      <c r="P14" s="93"/>
    </row>
    <row r="15" spans="1:16" outlineLevel="1" x14ac:dyDescent="0.25">
      <c r="B15" s="23"/>
      <c r="C15" s="1" t="s">
        <v>8</v>
      </c>
      <c r="H15" s="6">
        <f>H16/H13</f>
        <v>0.18499285015428615</v>
      </c>
      <c r="I15" s="6">
        <f t="shared" ref="I15:J15" si="3">I16/I13</f>
        <v>0.16296296296296298</v>
      </c>
      <c r="J15" s="6">
        <f t="shared" si="3"/>
        <v>0.15796878140282708</v>
      </c>
      <c r="K15" s="11">
        <v>0.17</v>
      </c>
      <c r="L15" s="11">
        <v>0.17</v>
      </c>
      <c r="M15" s="11">
        <v>0.17</v>
      </c>
      <c r="N15" s="11">
        <v>0.17</v>
      </c>
      <c r="O15" s="11">
        <v>0.17</v>
      </c>
      <c r="P15" s="102">
        <v>0.17</v>
      </c>
    </row>
    <row r="16" spans="1:16" outlineLevel="1" x14ac:dyDescent="0.25">
      <c r="B16" s="23"/>
      <c r="C16" s="1" t="s">
        <v>9</v>
      </c>
      <c r="H16" s="12">
        <v>2458</v>
      </c>
      <c r="I16" s="12">
        <v>2270.4</v>
      </c>
      <c r="J16" s="12">
        <v>2358</v>
      </c>
      <c r="K16" s="10">
        <f>K13*K15</f>
        <v>2729.7622500000002</v>
      </c>
      <c r="L16" s="10">
        <f t="shared" ref="L16:P16" si="4">L13*L15</f>
        <v>2964.8756075000001</v>
      </c>
      <c r="M16" s="10">
        <f t="shared" si="4"/>
        <v>3180.5081439500004</v>
      </c>
      <c r="N16" s="10">
        <f t="shared" si="4"/>
        <v>3370.9835511475007</v>
      </c>
      <c r="O16" s="10">
        <f t="shared" si="4"/>
        <v>3530.9828931934012</v>
      </c>
      <c r="P16" s="101">
        <f t="shared" si="4"/>
        <v>3634.9824655232355</v>
      </c>
    </row>
    <row r="17" spans="1:16" outlineLevel="1" x14ac:dyDescent="0.25">
      <c r="B17" s="23"/>
      <c r="P17" s="93"/>
    </row>
    <row r="18" spans="1:16" outlineLevel="1" x14ac:dyDescent="0.25">
      <c r="B18" s="10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04"/>
    </row>
    <row r="19" spans="1:16" outlineLevel="1" x14ac:dyDescent="0.25">
      <c r="B19" s="23"/>
      <c r="P19" s="93"/>
    </row>
    <row r="20" spans="1:16" outlineLevel="1" x14ac:dyDescent="0.25">
      <c r="B20" s="98" t="s">
        <v>0</v>
      </c>
      <c r="P20" s="93"/>
    </row>
    <row r="21" spans="1:16" outlineLevel="1" x14ac:dyDescent="0.25">
      <c r="B21" s="23"/>
      <c r="C21" s="1" t="s">
        <v>4</v>
      </c>
      <c r="H21" s="31">
        <f>H10</f>
        <v>16247</v>
      </c>
      <c r="I21" s="31">
        <f t="shared" ref="I21:P21" si="5">I10</f>
        <v>17128</v>
      </c>
      <c r="J21" s="31">
        <f t="shared" si="5"/>
        <v>18379</v>
      </c>
      <c r="K21" s="31">
        <f t="shared" si="5"/>
        <v>19757.424999999999</v>
      </c>
      <c r="L21" s="31">
        <f t="shared" si="5"/>
        <v>21140.444749999999</v>
      </c>
      <c r="M21" s="31">
        <f t="shared" si="5"/>
        <v>22408.871435000001</v>
      </c>
      <c r="N21" s="31">
        <f t="shared" si="5"/>
        <v>23529.315006750003</v>
      </c>
      <c r="O21" s="31">
        <f t="shared" si="5"/>
        <v>24470.487607020004</v>
      </c>
      <c r="P21" s="105">
        <f t="shared" si="5"/>
        <v>25082.249797195502</v>
      </c>
    </row>
    <row r="22" spans="1:16" outlineLevel="1" x14ac:dyDescent="0.25">
      <c r="B22" s="23"/>
      <c r="C22" s="1" t="s">
        <v>9</v>
      </c>
      <c r="H22" s="106">
        <f>H16*-1</f>
        <v>-2458</v>
      </c>
      <c r="I22" s="106">
        <f t="shared" ref="I22:P22" si="6">I16*-1</f>
        <v>-2270.4</v>
      </c>
      <c r="J22" s="106">
        <f t="shared" si="6"/>
        <v>-2358</v>
      </c>
      <c r="K22" s="106">
        <f t="shared" si="6"/>
        <v>-2729.7622500000002</v>
      </c>
      <c r="L22" s="106">
        <f t="shared" si="6"/>
        <v>-2964.8756075000001</v>
      </c>
      <c r="M22" s="106">
        <f t="shared" si="6"/>
        <v>-3180.5081439500004</v>
      </c>
      <c r="N22" s="106">
        <f t="shared" si="6"/>
        <v>-3370.9835511475007</v>
      </c>
      <c r="O22" s="106">
        <f t="shared" si="6"/>
        <v>-3530.9828931934012</v>
      </c>
      <c r="P22" s="107">
        <f t="shared" si="6"/>
        <v>-3634.9824655232355</v>
      </c>
    </row>
    <row r="23" spans="1:16" outlineLevel="1" x14ac:dyDescent="0.25">
      <c r="B23" s="23"/>
      <c r="C23" s="1" t="s">
        <v>10</v>
      </c>
      <c r="H23" s="106">
        <f>H12*-1</f>
        <v>-2960</v>
      </c>
      <c r="I23" s="106">
        <f t="shared" ref="I23:P23" si="7">I12*-1</f>
        <v>-3196</v>
      </c>
      <c r="J23" s="106">
        <f t="shared" si="7"/>
        <v>-3452</v>
      </c>
      <c r="K23" s="106">
        <f t="shared" si="7"/>
        <v>-3700</v>
      </c>
      <c r="L23" s="106">
        <f t="shared" si="7"/>
        <v>-3700</v>
      </c>
      <c r="M23" s="106">
        <f t="shared" si="7"/>
        <v>-3700</v>
      </c>
      <c r="N23" s="106">
        <f t="shared" si="7"/>
        <v>-3700</v>
      </c>
      <c r="O23" s="106">
        <f t="shared" si="7"/>
        <v>-3700</v>
      </c>
      <c r="P23" s="107">
        <f t="shared" si="7"/>
        <v>-3700</v>
      </c>
    </row>
    <row r="24" spans="1:16" outlineLevel="1" x14ac:dyDescent="0.25">
      <c r="B24" s="23"/>
      <c r="C24" s="1" t="s">
        <v>11</v>
      </c>
      <c r="H24" s="106">
        <v>-100</v>
      </c>
      <c r="I24" s="106">
        <v>-100</v>
      </c>
      <c r="J24" s="106">
        <v>-100</v>
      </c>
      <c r="K24" s="106">
        <v>-100</v>
      </c>
      <c r="L24" s="106">
        <v>-100</v>
      </c>
      <c r="M24" s="106">
        <v>-100</v>
      </c>
      <c r="N24" s="106">
        <v>-100</v>
      </c>
      <c r="O24" s="106">
        <v>-100</v>
      </c>
      <c r="P24" s="107">
        <v>-100</v>
      </c>
    </row>
    <row r="25" spans="1:16" outlineLevel="1" x14ac:dyDescent="0.25">
      <c r="B25" s="23"/>
      <c r="C25" s="30" t="s">
        <v>12</v>
      </c>
      <c r="H25" s="108">
        <f>SUM(H21:H24)</f>
        <v>10729</v>
      </c>
      <c r="I25" s="108">
        <f t="shared" ref="I25:P25" si="8">SUM(I21:I24)</f>
        <v>11561.6</v>
      </c>
      <c r="J25" s="108">
        <f t="shared" si="8"/>
        <v>12469</v>
      </c>
      <c r="K25" s="108">
        <f t="shared" si="8"/>
        <v>13227.66275</v>
      </c>
      <c r="L25" s="108">
        <f t="shared" si="8"/>
        <v>14375.569142499997</v>
      </c>
      <c r="M25" s="108">
        <f t="shared" si="8"/>
        <v>15428.363291050002</v>
      </c>
      <c r="N25" s="108">
        <f t="shared" si="8"/>
        <v>16358.331455602503</v>
      </c>
      <c r="O25" s="108">
        <f t="shared" si="8"/>
        <v>17139.504713826602</v>
      </c>
      <c r="P25" s="109">
        <f t="shared" si="8"/>
        <v>17647.267331672265</v>
      </c>
    </row>
    <row r="26" spans="1:16" outlineLevel="1" x14ac:dyDescent="0.25">
      <c r="B26" s="23"/>
      <c r="P26" s="93"/>
    </row>
    <row r="27" spans="1:16" outlineLevel="1" x14ac:dyDescent="0.25">
      <c r="B27" s="10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04"/>
    </row>
    <row r="28" spans="1:16" x14ac:dyDescent="0.25">
      <c r="B28" s="23"/>
      <c r="P28" s="93"/>
    </row>
    <row r="29" spans="1:16" x14ac:dyDescent="0.25">
      <c r="B29" s="23"/>
      <c r="P29" s="93"/>
    </row>
    <row r="30" spans="1:16" ht="17.399999999999999" x14ac:dyDescent="0.3">
      <c r="A30" s="1" t="s">
        <v>41</v>
      </c>
      <c r="B30" s="94" t="s">
        <v>13</v>
      </c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6"/>
    </row>
    <row r="31" spans="1:16" outlineLevel="1" x14ac:dyDescent="0.25">
      <c r="B31" s="23"/>
      <c r="P31" s="93"/>
    </row>
    <row r="32" spans="1:16" outlineLevel="1" x14ac:dyDescent="0.25">
      <c r="B32" s="23" t="s">
        <v>1</v>
      </c>
      <c r="J32" s="18" t="s">
        <v>14</v>
      </c>
      <c r="K32" s="19"/>
      <c r="L32" s="19"/>
      <c r="M32" s="19" t="s">
        <v>15</v>
      </c>
      <c r="N32" s="19"/>
      <c r="O32" s="19"/>
      <c r="P32" s="110" t="s">
        <v>5</v>
      </c>
    </row>
    <row r="33" spans="2:16" outlineLevel="1" x14ac:dyDescent="0.25">
      <c r="B33" s="23"/>
      <c r="J33" s="17" t="s">
        <v>16</v>
      </c>
      <c r="K33" s="38" t="s">
        <v>16</v>
      </c>
      <c r="L33" s="38" t="s">
        <v>16</v>
      </c>
      <c r="M33" s="38" t="s">
        <v>16</v>
      </c>
      <c r="N33" s="38" t="s">
        <v>16</v>
      </c>
      <c r="O33" s="38" t="s">
        <v>16</v>
      </c>
      <c r="P33" s="111" t="s">
        <v>16</v>
      </c>
    </row>
    <row r="34" spans="2:16" outlineLevel="1" x14ac:dyDescent="0.25">
      <c r="B34" s="112" t="s">
        <v>17</v>
      </c>
      <c r="C34" s="15"/>
      <c r="D34" s="15"/>
      <c r="E34" s="15"/>
      <c r="F34" s="16"/>
      <c r="J34" s="20">
        <f>DATE(F35,1,1)</f>
        <v>46388</v>
      </c>
      <c r="K34" s="21">
        <f>DATE(F35,12,31)</f>
        <v>46752</v>
      </c>
      <c r="L34" s="21">
        <f>EDATE(K34,12)</f>
        <v>47118</v>
      </c>
      <c r="M34" s="21">
        <f t="shared" ref="M34:P34" si="9">EDATE(L34,12)</f>
        <v>47483</v>
      </c>
      <c r="N34" s="21">
        <f t="shared" si="9"/>
        <v>47848</v>
      </c>
      <c r="O34" s="21">
        <f t="shared" si="9"/>
        <v>48213</v>
      </c>
      <c r="P34" s="113">
        <f t="shared" si="9"/>
        <v>48579</v>
      </c>
    </row>
    <row r="35" spans="2:16" outlineLevel="1" x14ac:dyDescent="0.25">
      <c r="B35" s="23"/>
      <c r="C35" s="1" t="s">
        <v>18</v>
      </c>
      <c r="F35" s="27">
        <f>K6</f>
        <v>2027</v>
      </c>
      <c r="P35" s="93"/>
    </row>
    <row r="36" spans="2:16" ht="14.4" customHeight="1" outlineLevel="1" x14ac:dyDescent="0.25">
      <c r="B36" s="23"/>
      <c r="C36" s="1" t="s">
        <v>19</v>
      </c>
      <c r="F36" s="47">
        <v>0.02</v>
      </c>
      <c r="K36" s="124" t="str">
        <f>B20</f>
        <v>Unlevered Free Cashflow</v>
      </c>
      <c r="L36" s="125"/>
      <c r="M36" s="125"/>
      <c r="N36" s="125"/>
      <c r="O36" s="125"/>
      <c r="P36" s="110"/>
    </row>
    <row r="37" spans="2:16" outlineLevel="1" x14ac:dyDescent="0.25">
      <c r="B37" s="103"/>
      <c r="C37" s="13" t="s">
        <v>20</v>
      </c>
      <c r="D37" s="13"/>
      <c r="E37" s="13"/>
      <c r="F37" s="48">
        <v>0.13500000000000001</v>
      </c>
      <c r="K37" s="28">
        <f t="shared" ref="K37:P37" si="10">K25</f>
        <v>13227.66275</v>
      </c>
      <c r="L37" s="29">
        <f t="shared" si="10"/>
        <v>14375.569142499997</v>
      </c>
      <c r="M37" s="29">
        <f t="shared" si="10"/>
        <v>15428.363291050002</v>
      </c>
      <c r="N37" s="29">
        <f t="shared" si="10"/>
        <v>16358.331455602503</v>
      </c>
      <c r="O37" s="29">
        <f t="shared" si="10"/>
        <v>17139.504713826602</v>
      </c>
      <c r="P37" s="114">
        <f t="shared" si="10"/>
        <v>17647.267331672265</v>
      </c>
    </row>
    <row r="38" spans="2:16" outlineLevel="1" x14ac:dyDescent="0.25">
      <c r="B38" s="23"/>
      <c r="P38" s="93"/>
    </row>
    <row r="39" spans="2:16" ht="14.4" customHeight="1" outlineLevel="1" x14ac:dyDescent="0.25">
      <c r="B39" s="23"/>
      <c r="I39" s="14"/>
      <c r="J39" s="15"/>
      <c r="K39" s="124" t="s">
        <v>22</v>
      </c>
      <c r="L39" s="125"/>
      <c r="M39" s="125"/>
      <c r="N39" s="125"/>
      <c r="O39" s="34"/>
      <c r="P39" s="115"/>
    </row>
    <row r="40" spans="2:16" outlineLevel="1" x14ac:dyDescent="0.25">
      <c r="B40" s="23"/>
      <c r="I40" s="32" t="s">
        <v>15</v>
      </c>
      <c r="K40" s="37">
        <f>K37</f>
        <v>13227.66275</v>
      </c>
      <c r="L40" s="35">
        <f t="shared" ref="L40:O40" si="11">L37</f>
        <v>14375.569142499997</v>
      </c>
      <c r="M40" s="35">
        <f t="shared" si="11"/>
        <v>15428.363291050002</v>
      </c>
      <c r="N40" s="35">
        <f t="shared" si="11"/>
        <v>16358.331455602503</v>
      </c>
      <c r="O40" s="36">
        <f t="shared" si="11"/>
        <v>17139.504713826602</v>
      </c>
      <c r="P40" s="93"/>
    </row>
    <row r="41" spans="2:16" outlineLevel="1" x14ac:dyDescent="0.25">
      <c r="B41" s="23"/>
      <c r="I41" s="32" t="s">
        <v>23</v>
      </c>
      <c r="K41" s="37">
        <v>0</v>
      </c>
      <c r="L41" s="35">
        <v>0</v>
      </c>
      <c r="M41" s="35">
        <v>0</v>
      </c>
      <c r="N41" s="35">
        <v>0</v>
      </c>
      <c r="O41" s="36">
        <f>P37/(F37-F36)</f>
        <v>153454.49853628056</v>
      </c>
      <c r="P41" s="93"/>
    </row>
    <row r="42" spans="2:16" ht="14.4" outlineLevel="1" thickBot="1" x14ac:dyDescent="0.3">
      <c r="B42" s="23"/>
      <c r="I42" s="33" t="s">
        <v>21</v>
      </c>
      <c r="J42" s="13"/>
      <c r="K42" s="39">
        <f>K40+K41</f>
        <v>13227.66275</v>
      </c>
      <c r="L42" s="40">
        <f t="shared" ref="L42:O42" si="12">L40+L41</f>
        <v>14375.569142499997</v>
      </c>
      <c r="M42" s="40">
        <f t="shared" si="12"/>
        <v>15428.363291050002</v>
      </c>
      <c r="N42" s="40">
        <f t="shared" si="12"/>
        <v>16358.331455602503</v>
      </c>
      <c r="O42" s="41">
        <f t="shared" si="12"/>
        <v>170594.00325010717</v>
      </c>
      <c r="P42" s="93"/>
    </row>
    <row r="43" spans="2:16" outlineLevel="1" x14ac:dyDescent="0.25">
      <c r="B43" s="23"/>
      <c r="P43" s="93"/>
    </row>
    <row r="44" spans="2:16" outlineLevel="1" x14ac:dyDescent="0.25">
      <c r="B44" s="23"/>
      <c r="P44" s="93"/>
    </row>
    <row r="45" spans="2:16" outlineLevel="1" x14ac:dyDescent="0.25">
      <c r="B45" s="23"/>
      <c r="P45" s="93"/>
    </row>
    <row r="46" spans="2:16" outlineLevel="1" x14ac:dyDescent="0.25">
      <c r="B46" s="23"/>
      <c r="P46" s="93"/>
    </row>
    <row r="47" spans="2:16" ht="14.4" outlineLevel="1" thickBot="1" x14ac:dyDescent="0.3">
      <c r="B47" s="23"/>
      <c r="P47" s="93"/>
    </row>
    <row r="48" spans="2:16" ht="14.4" customHeight="1" outlineLevel="1" x14ac:dyDescent="0.25">
      <c r="B48" s="23"/>
      <c r="D48" s="121" t="s">
        <v>24</v>
      </c>
      <c r="E48" s="122"/>
      <c r="F48" s="122"/>
      <c r="G48" s="122"/>
      <c r="H48" s="123"/>
      <c r="J48" s="121" t="s">
        <v>30</v>
      </c>
      <c r="K48" s="122"/>
      <c r="L48" s="122"/>
      <c r="M48" s="123"/>
      <c r="P48" s="93"/>
    </row>
    <row r="49" spans="2:16" outlineLevel="1" x14ac:dyDescent="0.25">
      <c r="B49" s="23"/>
      <c r="D49" s="23" t="s">
        <v>26</v>
      </c>
      <c r="G49" s="56">
        <f>NPV($F$37,K40:O40)</f>
        <v>52322.249316907655</v>
      </c>
      <c r="H49" s="42">
        <f>G49/$G$51</f>
        <v>0.39106942902381286</v>
      </c>
      <c r="J49" s="23" t="str">
        <f>D56</f>
        <v>Equity Value</v>
      </c>
      <c r="M49" s="52">
        <f>H59</f>
        <v>115150.73712986056</v>
      </c>
      <c r="P49" s="93"/>
    </row>
    <row r="50" spans="2:16" outlineLevel="1" x14ac:dyDescent="0.25">
      <c r="B50" s="23"/>
      <c r="D50" s="23" t="s">
        <v>27</v>
      </c>
      <c r="G50" s="57">
        <f>NPV($F$37,K41:O41)</f>
        <v>81470.487812952895</v>
      </c>
      <c r="H50" s="42">
        <f>G50/$G$51</f>
        <v>0.60893057097618708</v>
      </c>
      <c r="J50" s="23" t="s">
        <v>31</v>
      </c>
      <c r="L50" s="1" t="s">
        <v>33</v>
      </c>
      <c r="M50" s="55">
        <v>34200</v>
      </c>
      <c r="P50" s="93"/>
    </row>
    <row r="51" spans="2:16" ht="14.4" outlineLevel="1" thickBot="1" x14ac:dyDescent="0.3">
      <c r="B51" s="23"/>
      <c r="D51" s="24" t="s">
        <v>28</v>
      </c>
      <c r="E51" s="25"/>
      <c r="F51" s="25"/>
      <c r="G51" s="58">
        <f>SUM(G49:G50)</f>
        <v>133792.73712986056</v>
      </c>
      <c r="H51" s="44">
        <f>SUM(H49:H50)</f>
        <v>1</v>
      </c>
      <c r="J51" s="50" t="s">
        <v>25</v>
      </c>
      <c r="K51" s="51"/>
      <c r="L51" s="25" t="s">
        <v>32</v>
      </c>
      <c r="M51" s="53">
        <f>M49/M50</f>
        <v>3.3669806178321799</v>
      </c>
      <c r="P51" s="93"/>
    </row>
    <row r="52" spans="2:16" outlineLevel="1" x14ac:dyDescent="0.25">
      <c r="B52" s="23"/>
      <c r="P52" s="93"/>
    </row>
    <row r="53" spans="2:16" outlineLevel="1" x14ac:dyDescent="0.25">
      <c r="B53" s="23"/>
      <c r="P53" s="93"/>
    </row>
    <row r="54" spans="2:16" outlineLevel="1" x14ac:dyDescent="0.25">
      <c r="B54" s="23"/>
      <c r="P54" s="93"/>
    </row>
    <row r="55" spans="2:16" ht="14.4" outlineLevel="1" thickBot="1" x14ac:dyDescent="0.3">
      <c r="B55" s="23"/>
      <c r="P55" s="93"/>
    </row>
    <row r="56" spans="2:16" outlineLevel="1" x14ac:dyDescent="0.25">
      <c r="B56" s="23"/>
      <c r="D56" s="121" t="s">
        <v>25</v>
      </c>
      <c r="E56" s="122"/>
      <c r="F56" s="122"/>
      <c r="G56" s="122"/>
      <c r="H56" s="123"/>
      <c r="J56" s="121" t="s">
        <v>34</v>
      </c>
      <c r="K56" s="122"/>
      <c r="L56" s="122"/>
      <c r="M56" s="123"/>
      <c r="P56" s="93"/>
    </row>
    <row r="57" spans="2:16" outlineLevel="1" x14ac:dyDescent="0.25">
      <c r="B57" s="23"/>
      <c r="D57" s="23" t="str">
        <f>D48</f>
        <v>Enterprise Value</v>
      </c>
      <c r="H57" s="45">
        <f>G51</f>
        <v>133792.73712986056</v>
      </c>
      <c r="J57" s="23" t="s">
        <v>25</v>
      </c>
      <c r="M57" s="59">
        <f>M51</f>
        <v>3.3669806178321799</v>
      </c>
      <c r="P57" s="93"/>
    </row>
    <row r="58" spans="2:16" outlineLevel="1" x14ac:dyDescent="0.25">
      <c r="B58" s="23"/>
      <c r="D58" s="23" t="s">
        <v>29</v>
      </c>
      <c r="H58" s="54">
        <v>-18642</v>
      </c>
      <c r="J58" s="23" t="s">
        <v>35</v>
      </c>
      <c r="M58" s="49">
        <v>2.71</v>
      </c>
      <c r="P58" s="93"/>
    </row>
    <row r="59" spans="2:16" ht="14.4" outlineLevel="1" thickBot="1" x14ac:dyDescent="0.3">
      <c r="B59" s="23"/>
      <c r="D59" s="24" t="s">
        <v>25</v>
      </c>
      <c r="E59" s="25"/>
      <c r="F59" s="25"/>
      <c r="G59" s="25"/>
      <c r="H59" s="46">
        <f>SUM(H57:H58)</f>
        <v>115150.73712986056</v>
      </c>
      <c r="J59" s="24" t="s">
        <v>36</v>
      </c>
      <c r="K59" s="25"/>
      <c r="L59" s="25"/>
      <c r="M59" s="43">
        <f>M57/M58-1</f>
        <v>0.24242827226279706</v>
      </c>
      <c r="P59" s="93"/>
    </row>
    <row r="60" spans="2:16" outlineLevel="1" x14ac:dyDescent="0.25">
      <c r="B60" s="23"/>
      <c r="P60" s="93"/>
    </row>
    <row r="61" spans="2:16" outlineLevel="1" x14ac:dyDescent="0.25">
      <c r="B61" s="23"/>
      <c r="P61" s="93"/>
    </row>
    <row r="62" spans="2:16" outlineLevel="1" x14ac:dyDescent="0.25">
      <c r="B62" s="10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04"/>
    </row>
    <row r="63" spans="2:16" x14ac:dyDescent="0.25">
      <c r="B63" s="23"/>
      <c r="P63" s="93"/>
    </row>
    <row r="64" spans="2:16" x14ac:dyDescent="0.25">
      <c r="B64" s="23"/>
      <c r="P64" s="93"/>
    </row>
    <row r="65" spans="1:16" ht="17.399999999999999" x14ac:dyDescent="0.3">
      <c r="A65" s="1" t="s">
        <v>41</v>
      </c>
      <c r="B65" s="94" t="s">
        <v>37</v>
      </c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6"/>
    </row>
    <row r="66" spans="1:16" ht="14.4" outlineLevel="1" thickBot="1" x14ac:dyDescent="0.3">
      <c r="B66" s="23"/>
      <c r="P66" s="93"/>
    </row>
    <row r="67" spans="1:16" outlineLevel="1" x14ac:dyDescent="0.25">
      <c r="B67" s="23"/>
      <c r="D67" s="60" t="s">
        <v>38</v>
      </c>
      <c r="E67" s="22"/>
      <c r="F67" s="22"/>
      <c r="G67" s="61">
        <f>F36</f>
        <v>0.02</v>
      </c>
      <c r="J67" s="67" t="s">
        <v>39</v>
      </c>
      <c r="K67" s="22"/>
      <c r="L67" s="22"/>
      <c r="M67" s="68">
        <f>M50</f>
        <v>34200</v>
      </c>
      <c r="P67" s="93"/>
    </row>
    <row r="68" spans="1:16" ht="14.4" outlineLevel="1" thickBot="1" x14ac:dyDescent="0.3">
      <c r="B68" s="23"/>
      <c r="D68" s="62" t="s">
        <v>20</v>
      </c>
      <c r="G68" s="63">
        <f>F37</f>
        <v>0.13500000000000001</v>
      </c>
      <c r="J68" s="65" t="s">
        <v>35</v>
      </c>
      <c r="K68" s="25"/>
      <c r="L68" s="25"/>
      <c r="M68" s="26">
        <f>M58</f>
        <v>2.71</v>
      </c>
      <c r="P68" s="93"/>
    </row>
    <row r="69" spans="1:16" outlineLevel="1" x14ac:dyDescent="0.25">
      <c r="B69" s="23"/>
      <c r="D69" s="64" t="s">
        <v>24</v>
      </c>
      <c r="G69" s="45">
        <f>G51</f>
        <v>133792.73712986056</v>
      </c>
      <c r="P69" s="93"/>
    </row>
    <row r="70" spans="1:16" ht="14.4" outlineLevel="1" thickBot="1" x14ac:dyDescent="0.3">
      <c r="B70" s="23"/>
      <c r="D70" s="65" t="s">
        <v>29</v>
      </c>
      <c r="E70" s="25"/>
      <c r="F70" s="25"/>
      <c r="G70" s="66">
        <f>H58*-1</f>
        <v>18642</v>
      </c>
      <c r="P70" s="93"/>
    </row>
    <row r="71" spans="1:16" outlineLevel="1" x14ac:dyDescent="0.25">
      <c r="B71" s="23"/>
      <c r="P71" s="93"/>
    </row>
    <row r="72" spans="1:16" outlineLevel="1" x14ac:dyDescent="0.25">
      <c r="B72" s="23"/>
      <c r="P72" s="93"/>
    </row>
    <row r="73" spans="1:16" outlineLevel="1" x14ac:dyDescent="0.25">
      <c r="B73" s="23"/>
      <c r="D73" s="116" t="str">
        <f>D48</f>
        <v>Enterprise Value</v>
      </c>
      <c r="E73" s="116"/>
      <c r="F73" s="116"/>
      <c r="G73" s="116"/>
      <c r="K73" s="116" t="s">
        <v>30</v>
      </c>
      <c r="L73" s="116"/>
      <c r="M73" s="116"/>
      <c r="N73" s="116"/>
      <c r="O73" s="116"/>
      <c r="P73" s="93"/>
    </row>
    <row r="74" spans="1:16" outlineLevel="1" x14ac:dyDescent="0.25">
      <c r="B74" s="23"/>
      <c r="P74" s="93"/>
    </row>
    <row r="75" spans="1:16" outlineLevel="1" x14ac:dyDescent="0.25">
      <c r="B75" s="23"/>
      <c r="D75" s="117" t="s">
        <v>38</v>
      </c>
      <c r="E75" s="117"/>
      <c r="F75" s="117"/>
      <c r="G75" s="117"/>
      <c r="K75" s="117" t="s">
        <v>38</v>
      </c>
      <c r="L75" s="117"/>
      <c r="M75" s="117"/>
      <c r="N75" s="117"/>
      <c r="P75" s="93"/>
    </row>
    <row r="76" spans="1:16" outlineLevel="1" x14ac:dyDescent="0.25">
      <c r="B76" s="23"/>
      <c r="C76" s="77">
        <f>G69</f>
        <v>133792.73712986056</v>
      </c>
      <c r="D76" s="70">
        <f>E76-0.005</f>
        <v>9.9999999999999985E-3</v>
      </c>
      <c r="E76" s="70">
        <f>F76-0.005</f>
        <v>1.4999999999999999E-2</v>
      </c>
      <c r="F76" s="71">
        <v>0.02</v>
      </c>
      <c r="G76" s="70">
        <f>F76+0.005</f>
        <v>2.5000000000000001E-2</v>
      </c>
      <c r="H76" s="72">
        <f>G76+0.005</f>
        <v>3.0000000000000002E-2</v>
      </c>
      <c r="J76" s="69"/>
      <c r="K76" s="70">
        <f>L76-0.005</f>
        <v>9.9999999999999985E-3</v>
      </c>
      <c r="L76" s="70">
        <f>M76-0.005</f>
        <v>1.4999999999999999E-2</v>
      </c>
      <c r="M76" s="71">
        <v>0.02</v>
      </c>
      <c r="N76" s="70">
        <f>M76+0.005</f>
        <v>2.5000000000000001E-2</v>
      </c>
      <c r="O76" s="72">
        <f>N76+0.005</f>
        <v>3.0000000000000002E-2</v>
      </c>
      <c r="P76" s="93"/>
    </row>
    <row r="77" spans="1:16" outlineLevel="1" x14ac:dyDescent="0.25">
      <c r="B77" s="23"/>
      <c r="C77" s="73">
        <f>C78-0.01</f>
        <v>0.115</v>
      </c>
      <c r="D77" s="76">
        <f t="dataTable" ref="D77:H81" dt2D="1" dtr="1" r1="F36" r2="F37"/>
        <v>152610.2135043655</v>
      </c>
      <c r="E77" s="76">
        <v>157486.43958575034</v>
      </c>
      <c r="F77" s="76">
        <v>162875.95262307042</v>
      </c>
      <c r="G77" s="76">
        <v>168864.30044231494</v>
      </c>
      <c r="H77" s="78">
        <v>175557.15976970585</v>
      </c>
      <c r="J77" s="73">
        <f>J78-0.01</f>
        <v>0.115</v>
      </c>
      <c r="K77" s="85">
        <f>D91/$M$67</f>
        <v>3.917199225273845</v>
      </c>
      <c r="L77" s="85">
        <f t="shared" ref="L77:O77" si="13">E91/$M$67</f>
        <v>4.0597789352558582</v>
      </c>
      <c r="M77" s="85">
        <f t="shared" si="13"/>
        <v>4.217367035762293</v>
      </c>
      <c r="N77" s="85">
        <f t="shared" si="13"/>
        <v>4.3924649252138872</v>
      </c>
      <c r="O77" s="86">
        <f t="shared" si="13"/>
        <v>4.5881625663656678</v>
      </c>
      <c r="P77" s="93"/>
    </row>
    <row r="78" spans="1:16" outlineLevel="1" x14ac:dyDescent="0.25">
      <c r="B78" s="23"/>
      <c r="C78" s="73">
        <f>C79-0.01</f>
        <v>0.125</v>
      </c>
      <c r="D78" s="76">
        <v>138832.20762451095</v>
      </c>
      <c r="E78" s="76">
        <v>142702.95057299969</v>
      </c>
      <c r="F78" s="76">
        <v>146942.33570705878</v>
      </c>
      <c r="G78" s="76">
        <v>151605.65935452376</v>
      </c>
      <c r="H78" s="78">
        <v>156759.85917540613</v>
      </c>
      <c r="J78" s="73">
        <f>J79-0.01</f>
        <v>0.125</v>
      </c>
      <c r="K78" s="85">
        <f t="shared" ref="K78:O78" si="14">D92/$M$67</f>
        <v>3.5143335562722502</v>
      </c>
      <c r="L78" s="85">
        <f t="shared" si="14"/>
        <v>3.6275131746491138</v>
      </c>
      <c r="M78" s="85">
        <f t="shared" si="14"/>
        <v>3.7514718042999644</v>
      </c>
      <c r="N78" s="85">
        <f t="shared" si="14"/>
        <v>3.8878262969158994</v>
      </c>
      <c r="O78" s="86">
        <f t="shared" si="14"/>
        <v>4.0385338940177231</v>
      </c>
      <c r="P78" s="93"/>
    </row>
    <row r="79" spans="1:16" outlineLevel="1" x14ac:dyDescent="0.25">
      <c r="A79" s="1" t="s">
        <v>20</v>
      </c>
      <c r="B79" s="23"/>
      <c r="C79" s="74">
        <v>0.13500000000000001</v>
      </c>
      <c r="D79" s="76">
        <v>127275.09810482431</v>
      </c>
      <c r="E79" s="76">
        <v>130398.13347098752</v>
      </c>
      <c r="F79" s="76">
        <v>133792.73712986056</v>
      </c>
      <c r="G79" s="76">
        <v>137495.9411213584</v>
      </c>
      <c r="H79" s="78">
        <v>141551.83120728462</v>
      </c>
      <c r="J79" s="74">
        <v>0.13500000000000001</v>
      </c>
      <c r="K79" s="85">
        <f t="shared" ref="K79:O79" si="15">D93/$M$67</f>
        <v>3.1764063773340441</v>
      </c>
      <c r="L79" s="85">
        <f t="shared" si="15"/>
        <v>3.2677232009060679</v>
      </c>
      <c r="M79" s="85">
        <f t="shared" si="15"/>
        <v>3.3669806178321799</v>
      </c>
      <c r="N79" s="85">
        <f t="shared" si="15"/>
        <v>3.4752614362970289</v>
      </c>
      <c r="O79" s="86">
        <f t="shared" si="15"/>
        <v>3.5938547136632928</v>
      </c>
      <c r="P79" s="93"/>
    </row>
    <row r="80" spans="1:16" outlineLevel="1" x14ac:dyDescent="0.25">
      <c r="B80" s="23"/>
      <c r="C80" s="73">
        <f>+C79+0.01</f>
        <v>0.14500000000000002</v>
      </c>
      <c r="D80" s="76">
        <v>117444.64090087425</v>
      </c>
      <c r="E80" s="76">
        <v>119999.35858853068</v>
      </c>
      <c r="F80" s="76">
        <v>122758.45369119963</v>
      </c>
      <c r="G80" s="76">
        <v>125747.47338575768</v>
      </c>
      <c r="H80" s="78">
        <v>128996.40783636423</v>
      </c>
      <c r="J80" s="73">
        <f>+J79+0.01</f>
        <v>0.14500000000000002</v>
      </c>
      <c r="K80" s="85">
        <f t="shared" ref="K80:O80" si="16">D94/$M$67</f>
        <v>2.8889661082126974</v>
      </c>
      <c r="L80" s="85">
        <f t="shared" si="16"/>
        <v>2.9636654558049909</v>
      </c>
      <c r="M80" s="85">
        <f t="shared" si="16"/>
        <v>3.0443407512046674</v>
      </c>
      <c r="N80" s="85">
        <f t="shared" si="16"/>
        <v>3.1317389878876516</v>
      </c>
      <c r="O80" s="86">
        <f t="shared" si="16"/>
        <v>3.2267370712387202</v>
      </c>
      <c r="P80" s="93"/>
    </row>
    <row r="81" spans="1:16" outlineLevel="1" x14ac:dyDescent="0.25">
      <c r="B81" s="23"/>
      <c r="C81" s="75">
        <f>C80+0.01</f>
        <v>0.15500000000000003</v>
      </c>
      <c r="D81" s="79">
        <v>108982.97299484035</v>
      </c>
      <c r="E81" s="79">
        <v>111097.63766704898</v>
      </c>
      <c r="F81" s="79">
        <v>113368.94416682862</v>
      </c>
      <c r="G81" s="79">
        <v>115814.9665512067</v>
      </c>
      <c r="H81" s="80">
        <v>118456.67072633503</v>
      </c>
      <c r="J81" s="75">
        <f>J80+0.01</f>
        <v>0.15500000000000003</v>
      </c>
      <c r="K81" s="87">
        <f t="shared" ref="K81:O81" si="17">D95/$M$67</f>
        <v>2.6415489179777882</v>
      </c>
      <c r="L81" s="87">
        <f t="shared" si="17"/>
        <v>2.7033812183347656</v>
      </c>
      <c r="M81" s="87">
        <f t="shared" si="17"/>
        <v>2.7697936890885559</v>
      </c>
      <c r="N81" s="87">
        <f t="shared" si="17"/>
        <v>2.8413148114387923</v>
      </c>
      <c r="O81" s="88">
        <f t="shared" si="17"/>
        <v>2.9185576235770476</v>
      </c>
      <c r="P81" s="93"/>
    </row>
    <row r="82" spans="1:16" outlineLevel="1" x14ac:dyDescent="0.25">
      <c r="B82" s="23"/>
      <c r="P82" s="93"/>
    </row>
    <row r="83" spans="1:16" outlineLevel="1" x14ac:dyDescent="0.25">
      <c r="B83" s="23"/>
      <c r="P83" s="93"/>
    </row>
    <row r="84" spans="1:16" outlineLevel="1" x14ac:dyDescent="0.25">
      <c r="B84" s="23"/>
      <c r="P84" s="93"/>
    </row>
    <row r="85" spans="1:16" outlineLevel="1" x14ac:dyDescent="0.25">
      <c r="B85" s="23"/>
      <c r="P85" s="93"/>
    </row>
    <row r="86" spans="1:16" outlineLevel="1" x14ac:dyDescent="0.25">
      <c r="B86" s="23"/>
      <c r="P86" s="93"/>
    </row>
    <row r="87" spans="1:16" outlineLevel="1" x14ac:dyDescent="0.25">
      <c r="B87" s="23"/>
      <c r="D87" s="116" t="s">
        <v>25</v>
      </c>
      <c r="E87" s="116"/>
      <c r="F87" s="116"/>
      <c r="G87" s="116"/>
      <c r="K87" s="116" t="s">
        <v>40</v>
      </c>
      <c r="L87" s="116"/>
      <c r="M87" s="116"/>
      <c r="N87" s="116"/>
      <c r="P87" s="93"/>
    </row>
    <row r="88" spans="1:16" outlineLevel="1" x14ac:dyDescent="0.25">
      <c r="B88" s="23"/>
      <c r="P88" s="93"/>
    </row>
    <row r="89" spans="1:16" outlineLevel="1" x14ac:dyDescent="0.25">
      <c r="B89" s="23"/>
      <c r="D89" s="117" t="s">
        <v>38</v>
      </c>
      <c r="E89" s="117"/>
      <c r="F89" s="117"/>
      <c r="G89" s="117"/>
      <c r="K89" s="117" t="s">
        <v>38</v>
      </c>
      <c r="L89" s="117"/>
      <c r="M89" s="117"/>
      <c r="N89" s="117"/>
      <c r="P89" s="93"/>
    </row>
    <row r="90" spans="1:16" outlineLevel="1" x14ac:dyDescent="0.25">
      <c r="B90" s="23"/>
      <c r="C90" s="69"/>
      <c r="D90" s="70">
        <f>E90-0.005</f>
        <v>9.9999999999999985E-3</v>
      </c>
      <c r="E90" s="70">
        <f>F90-0.005</f>
        <v>1.4999999999999999E-2</v>
      </c>
      <c r="F90" s="71">
        <f>G67</f>
        <v>0.02</v>
      </c>
      <c r="G90" s="70">
        <f>F90+0.005</f>
        <v>2.5000000000000001E-2</v>
      </c>
      <c r="H90" s="72">
        <f>G90+0.005</f>
        <v>3.0000000000000002E-2</v>
      </c>
      <c r="J90" s="69"/>
      <c r="K90" s="70">
        <f>L90-0.005</f>
        <v>9.9999999999999985E-3</v>
      </c>
      <c r="L90" s="70">
        <f>M90-0.005</f>
        <v>1.4999999999999999E-2</v>
      </c>
      <c r="M90" s="71">
        <v>0.02</v>
      </c>
      <c r="N90" s="70">
        <f>M90+0.005</f>
        <v>2.5000000000000001E-2</v>
      </c>
      <c r="O90" s="72">
        <f>N90+0.005</f>
        <v>3.0000000000000002E-2</v>
      </c>
      <c r="P90" s="93"/>
    </row>
    <row r="91" spans="1:16" outlineLevel="1" x14ac:dyDescent="0.25">
      <c r="B91" s="23"/>
      <c r="C91" s="73">
        <f>C92-0.01</f>
        <v>0.115</v>
      </c>
      <c r="D91" s="81">
        <f>D77-$G$70</f>
        <v>133968.2135043655</v>
      </c>
      <c r="E91" s="81">
        <f t="shared" ref="E91:H91" si="18">E77-$G$70</f>
        <v>138844.43958575034</v>
      </c>
      <c r="F91" s="81">
        <f t="shared" si="18"/>
        <v>144233.95262307042</v>
      </c>
      <c r="G91" s="81">
        <f t="shared" si="18"/>
        <v>150222.30044231494</v>
      </c>
      <c r="H91" s="82">
        <f t="shared" si="18"/>
        <v>156915.15976970585</v>
      </c>
      <c r="J91" s="73">
        <f>J92-0.01</f>
        <v>0.115</v>
      </c>
      <c r="K91" s="89">
        <f>K77/$M$68-1</f>
        <v>0.44546096873573626</v>
      </c>
      <c r="L91" s="89">
        <f t="shared" ref="L91:O91" si="19">L77/$M$68-1</f>
        <v>0.49807340784349008</v>
      </c>
      <c r="M91" s="89">
        <f t="shared" si="19"/>
        <v>0.55622399843627046</v>
      </c>
      <c r="N91" s="89">
        <f t="shared" si="19"/>
        <v>0.62083576576158195</v>
      </c>
      <c r="O91" s="90">
        <f t="shared" si="19"/>
        <v>0.69304891747810626</v>
      </c>
      <c r="P91" s="93"/>
    </row>
    <row r="92" spans="1:16" outlineLevel="1" x14ac:dyDescent="0.25">
      <c r="B92" s="23"/>
      <c r="C92" s="73">
        <f>C93-0.01</f>
        <v>0.125</v>
      </c>
      <c r="D92" s="81">
        <f t="shared" ref="D92:H92" si="20">D78-$G$70</f>
        <v>120190.20762451095</v>
      </c>
      <c r="E92" s="81">
        <f t="shared" si="20"/>
        <v>124060.95057299969</v>
      </c>
      <c r="F92" s="81">
        <f t="shared" si="20"/>
        <v>128300.33570705878</v>
      </c>
      <c r="G92" s="81">
        <f t="shared" si="20"/>
        <v>132963.65935452376</v>
      </c>
      <c r="H92" s="82">
        <f t="shared" si="20"/>
        <v>138117.85917540613</v>
      </c>
      <c r="J92" s="73">
        <f>J93-0.01</f>
        <v>0.125</v>
      </c>
      <c r="K92" s="89">
        <f t="shared" ref="K92:O92" si="21">K78/$M$68-1</f>
        <v>0.29680205028496309</v>
      </c>
      <c r="L92" s="89">
        <f t="shared" si="21"/>
        <v>0.33856574710299414</v>
      </c>
      <c r="M92" s="89">
        <f t="shared" si="21"/>
        <v>0.38430693885607536</v>
      </c>
      <c r="N92" s="89">
        <f t="shared" si="21"/>
        <v>0.43462224978446473</v>
      </c>
      <c r="O92" s="90">
        <f t="shared" si="21"/>
        <v>0.49023390923163213</v>
      </c>
      <c r="P92" s="93"/>
    </row>
    <row r="93" spans="1:16" outlineLevel="1" x14ac:dyDescent="0.25">
      <c r="A93" s="1" t="str">
        <f>A79</f>
        <v>WACC</v>
      </c>
      <c r="B93" s="23"/>
      <c r="C93" s="74">
        <f>G68</f>
        <v>0.13500000000000001</v>
      </c>
      <c r="D93" s="81">
        <f t="shared" ref="D93:H93" si="22">D79-$G$70</f>
        <v>108633.09810482431</v>
      </c>
      <c r="E93" s="81">
        <f t="shared" si="22"/>
        <v>111756.13347098752</v>
      </c>
      <c r="F93" s="81">
        <f t="shared" si="22"/>
        <v>115150.73712986056</v>
      </c>
      <c r="G93" s="81">
        <f t="shared" si="22"/>
        <v>118853.9411213584</v>
      </c>
      <c r="H93" s="82">
        <f t="shared" si="22"/>
        <v>122909.83120728462</v>
      </c>
      <c r="J93" s="74">
        <v>0.13500000000000001</v>
      </c>
      <c r="K93" s="89">
        <f t="shared" ref="K93:O93" si="23">K79/$M$68-1</f>
        <v>0.17210567429300516</v>
      </c>
      <c r="L93" s="89">
        <f t="shared" si="23"/>
        <v>0.20580191915353052</v>
      </c>
      <c r="M93" s="89">
        <f t="shared" si="23"/>
        <v>0.24242827226279706</v>
      </c>
      <c r="N93" s="89">
        <f t="shared" si="23"/>
        <v>0.28238429383654196</v>
      </c>
      <c r="O93" s="90">
        <f t="shared" si="23"/>
        <v>0.32614565079826296</v>
      </c>
      <c r="P93" s="93"/>
    </row>
    <row r="94" spans="1:16" outlineLevel="1" x14ac:dyDescent="0.25">
      <c r="B94" s="23"/>
      <c r="C94" s="73">
        <f>+C93+0.01</f>
        <v>0.14500000000000002</v>
      </c>
      <c r="D94" s="81">
        <f t="shared" ref="D94:H94" si="24">D80-$G$70</f>
        <v>98802.640900874248</v>
      </c>
      <c r="E94" s="81">
        <f t="shared" si="24"/>
        <v>101357.35858853068</v>
      </c>
      <c r="F94" s="81">
        <f t="shared" si="24"/>
        <v>104116.45369119963</v>
      </c>
      <c r="G94" s="81">
        <f t="shared" si="24"/>
        <v>107105.47338575768</v>
      </c>
      <c r="H94" s="82">
        <f t="shared" si="24"/>
        <v>110354.40783636423</v>
      </c>
      <c r="J94" s="73">
        <f>+J93+0.01</f>
        <v>0.14500000000000002</v>
      </c>
      <c r="K94" s="89">
        <f t="shared" ref="K94:O94" si="25">K80/$M$68-1</f>
        <v>6.603915432202867E-2</v>
      </c>
      <c r="L94" s="89">
        <f t="shared" si="25"/>
        <v>9.3603489226933956E-2</v>
      </c>
      <c r="M94" s="89">
        <f t="shared" si="25"/>
        <v>0.1233729709242315</v>
      </c>
      <c r="N94" s="89">
        <f t="shared" si="25"/>
        <v>0.15562324276297113</v>
      </c>
      <c r="O94" s="90">
        <f t="shared" si="25"/>
        <v>0.19067788606594838</v>
      </c>
      <c r="P94" s="93"/>
    </row>
    <row r="95" spans="1:16" outlineLevel="1" x14ac:dyDescent="0.25">
      <c r="B95" s="23"/>
      <c r="C95" s="75">
        <f>C94+0.01</f>
        <v>0.15500000000000003</v>
      </c>
      <c r="D95" s="83">
        <f t="shared" ref="D95:H95" si="26">D81-$G$70</f>
        <v>90340.972994840355</v>
      </c>
      <c r="E95" s="83">
        <f t="shared" si="26"/>
        <v>92455.637667048984</v>
      </c>
      <c r="F95" s="83">
        <f t="shared" si="26"/>
        <v>94726.944166828616</v>
      </c>
      <c r="G95" s="83">
        <f t="shared" si="26"/>
        <v>97172.9665512067</v>
      </c>
      <c r="H95" s="84">
        <f t="shared" si="26"/>
        <v>99814.670726335025</v>
      </c>
      <c r="J95" s="75">
        <f>J94+0.01</f>
        <v>0.15500000000000003</v>
      </c>
      <c r="K95" s="91">
        <f t="shared" ref="K95:O95" si="27">K81/$M$68-1</f>
        <v>-2.525870185321466E-2</v>
      </c>
      <c r="L95" s="91">
        <f t="shared" si="27"/>
        <v>-2.4423548580200238E-3</v>
      </c>
      <c r="M95" s="91">
        <f t="shared" si="27"/>
        <v>2.206409191459624E-2</v>
      </c>
      <c r="N95" s="91">
        <f t="shared" si="27"/>
        <v>4.8455649977414028E-2</v>
      </c>
      <c r="O95" s="92">
        <f t="shared" si="27"/>
        <v>7.6958532685257541E-2</v>
      </c>
      <c r="P95" s="93"/>
    </row>
    <row r="96" spans="1:16" outlineLevel="1" x14ac:dyDescent="0.25">
      <c r="B96" s="23"/>
      <c r="P96" s="93"/>
    </row>
    <row r="97" spans="2:16" outlineLevel="1" x14ac:dyDescent="0.25">
      <c r="B97" s="23"/>
      <c r="P97" s="93"/>
    </row>
    <row r="98" spans="2:16" ht="14.4" outlineLevel="1" thickBot="1" x14ac:dyDescent="0.3">
      <c r="B98" s="24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6"/>
    </row>
  </sheetData>
  <mergeCells count="15">
    <mergeCell ref="D73:G73"/>
    <mergeCell ref="D75:G75"/>
    <mergeCell ref="K73:O73"/>
    <mergeCell ref="K36:O36"/>
    <mergeCell ref="K39:N39"/>
    <mergeCell ref="B2:P2"/>
    <mergeCell ref="D48:H48"/>
    <mergeCell ref="D56:H56"/>
    <mergeCell ref="J48:M48"/>
    <mergeCell ref="J56:M56"/>
    <mergeCell ref="D87:G87"/>
    <mergeCell ref="D89:G89"/>
    <mergeCell ref="K87:N87"/>
    <mergeCell ref="K89:N89"/>
    <mergeCell ref="K75:N7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Model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Elahi, Md Fozley</dc:creator>
  <cp:lastModifiedBy>Elahi, Md Fozley</cp:lastModifiedBy>
  <dcterms:created xsi:type="dcterms:W3CDTF">2015-06-05T18:17:20Z</dcterms:created>
  <dcterms:modified xsi:type="dcterms:W3CDTF">2026-04-18T04:08:59Z</dcterms:modified>
</cp:coreProperties>
</file>