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MIAMI MBA\Spring 2026 Term 1\MAS\"/>
    </mc:Choice>
  </mc:AlternateContent>
  <xr:revisionPtr revIDLastSave="0" documentId="13_ncr:1_{2F5A3640-17E2-4603-A9E2-A94AC7A146CC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Dashboard" sheetId="4" r:id="rId1"/>
    <sheet name="Model" sheetId="1" r:id="rId2"/>
    <sheet name="90% Cabin Factor" sheetId="3" r:id="rId3"/>
    <sheet name="100% Cabin Factor" sheetId="2" r:id="rId4"/>
  </sheets>
  <definedNames>
    <definedName name="solver_adj" localSheetId="3" hidden="1">'100% Cabin Factor'!$E$5:$E$25</definedName>
    <definedName name="solver_adj" localSheetId="2" hidden="1">'90% Cabin Factor'!$E$5:$E$25</definedName>
    <definedName name="solver_adj" localSheetId="1" hidden="1">Model!$E$5:$E$25</definedName>
    <definedName name="solver_cvg" localSheetId="3" hidden="1">0.0001</definedName>
    <definedName name="solver_cvg" localSheetId="2" hidden="1">0.0001</definedName>
    <definedName name="solver_cvg" localSheetId="1" hidden="1">0.0001</definedName>
    <definedName name="solver_drv" localSheetId="3" hidden="1">1</definedName>
    <definedName name="solver_drv" localSheetId="2" hidden="1">1</definedName>
    <definedName name="solver_drv" localSheetId="1" hidden="1">1</definedName>
    <definedName name="solver_eng" localSheetId="3" hidden="1">1</definedName>
    <definedName name="solver_eng" localSheetId="2" hidden="1">1</definedName>
    <definedName name="solver_eng" localSheetId="1" hidden="1">1</definedName>
    <definedName name="solver_est" localSheetId="3" hidden="1">1</definedName>
    <definedName name="solver_est" localSheetId="2" hidden="1">1</definedName>
    <definedName name="solver_est" localSheetId="1" hidden="1">1</definedName>
    <definedName name="solver_itr" localSheetId="3" hidden="1">2147483647</definedName>
    <definedName name="solver_itr" localSheetId="2" hidden="1">2147483647</definedName>
    <definedName name="solver_itr" localSheetId="1" hidden="1">2147483647</definedName>
    <definedName name="solver_lhs1" localSheetId="3" hidden="1">'100% Cabin Factor'!$E$5:$E$25</definedName>
    <definedName name="solver_lhs1" localSheetId="2" hidden="1">'90% Cabin Factor'!$E$5:$E$25</definedName>
    <definedName name="solver_lhs1" localSheetId="1" hidden="1">Model!$E$5:$E$25</definedName>
    <definedName name="solver_lhs2" localSheetId="3" hidden="1">'100% Cabin Factor'!$E$5:$E$25</definedName>
    <definedName name="solver_lhs2" localSheetId="2" hidden="1">'90% Cabin Factor'!$E$5:$E$25</definedName>
    <definedName name="solver_lhs2" localSheetId="1" hidden="1">Model!$E$5:$E$25</definedName>
    <definedName name="solver_lhs3" localSheetId="3" hidden="1">'100% Cabin Factor'!$P$13</definedName>
    <definedName name="solver_lhs3" localSheetId="2" hidden="1">'90% Cabin Factor'!$Q$13</definedName>
    <definedName name="solver_lhs3" localSheetId="1" hidden="1">Model!$E$5:$E$25</definedName>
    <definedName name="solver_lhs4" localSheetId="3" hidden="1">'100% Cabin Factor'!$P$13</definedName>
    <definedName name="solver_lhs4" localSheetId="2" hidden="1">'90% Cabin Factor'!$Q$13</definedName>
    <definedName name="solver_lhs4" localSheetId="1" hidden="1">Model!$P$13</definedName>
    <definedName name="solver_mip" localSheetId="3" hidden="1">2147483647</definedName>
    <definedName name="solver_mip" localSheetId="2" hidden="1">2147483647</definedName>
    <definedName name="solver_mip" localSheetId="1" hidden="1">2147483647</definedName>
    <definedName name="solver_mni" localSheetId="3" hidden="1">30</definedName>
    <definedName name="solver_mni" localSheetId="2" hidden="1">30</definedName>
    <definedName name="solver_mni" localSheetId="1" hidden="1">30</definedName>
    <definedName name="solver_mrt" localSheetId="3" hidden="1">0.075</definedName>
    <definedName name="solver_mrt" localSheetId="2" hidden="1">0.075</definedName>
    <definedName name="solver_mrt" localSheetId="1" hidden="1">0.075</definedName>
    <definedName name="solver_msl" localSheetId="3" hidden="1">2</definedName>
    <definedName name="solver_msl" localSheetId="2" hidden="1">2</definedName>
    <definedName name="solver_msl" localSheetId="1" hidden="1">2</definedName>
    <definedName name="solver_neg" localSheetId="3" hidden="1">1</definedName>
    <definedName name="solver_neg" localSheetId="2" hidden="1">1</definedName>
    <definedName name="solver_neg" localSheetId="1" hidden="1">1</definedName>
    <definedName name="solver_nod" localSheetId="3" hidden="1">2147483647</definedName>
    <definedName name="solver_nod" localSheetId="2" hidden="1">2147483647</definedName>
    <definedName name="solver_nod" localSheetId="1" hidden="1">2147483647</definedName>
    <definedName name="solver_num" localSheetId="3" hidden="1">3</definedName>
    <definedName name="solver_num" localSheetId="2" hidden="1">3</definedName>
    <definedName name="solver_num" localSheetId="1" hidden="1">4</definedName>
    <definedName name="solver_nwt" localSheetId="3" hidden="1">1</definedName>
    <definedName name="solver_nwt" localSheetId="2" hidden="1">1</definedName>
    <definedName name="solver_nwt" localSheetId="1" hidden="1">1</definedName>
    <definedName name="solver_opt" localSheetId="3" hidden="1">'100% Cabin Factor'!$P$13</definedName>
    <definedName name="solver_opt" localSheetId="2" hidden="1">'90% Cabin Factor'!$Q$13</definedName>
    <definedName name="solver_opt" localSheetId="1" hidden="1">Model!$P$13</definedName>
    <definedName name="solver_pre" localSheetId="3" hidden="1">0.000001</definedName>
    <definedName name="solver_pre" localSheetId="2" hidden="1">0.000001</definedName>
    <definedName name="solver_pre" localSheetId="1" hidden="1">0.000001</definedName>
    <definedName name="solver_rbv" localSheetId="3" hidden="1">1</definedName>
    <definedName name="solver_rbv" localSheetId="2" hidden="1">1</definedName>
    <definedName name="solver_rbv" localSheetId="1" hidden="1">1</definedName>
    <definedName name="solver_rel1" localSheetId="3" hidden="1">1</definedName>
    <definedName name="solver_rel1" localSheetId="2" hidden="1">1</definedName>
    <definedName name="solver_rel1" localSheetId="1" hidden="1">1</definedName>
    <definedName name="solver_rel2" localSheetId="3" hidden="1">3</definedName>
    <definedName name="solver_rel2" localSheetId="2" hidden="1">3</definedName>
    <definedName name="solver_rel2" localSheetId="1" hidden="1">4</definedName>
    <definedName name="solver_rel3" localSheetId="3" hidden="1">2</definedName>
    <definedName name="solver_rel3" localSheetId="2" hidden="1">2</definedName>
    <definedName name="solver_rel3" localSheetId="1" hidden="1">3</definedName>
    <definedName name="solver_rel4" localSheetId="3" hidden="1">2</definedName>
    <definedName name="solver_rel4" localSheetId="2" hidden="1">2</definedName>
    <definedName name="solver_rel4" localSheetId="1" hidden="1">2</definedName>
    <definedName name="solver_rhs1" localSheetId="3" hidden="1">'100% Cabin Factor'!$G$5:$G$25</definedName>
    <definedName name="solver_rhs1" localSheetId="2" hidden="1">'90% Cabin Factor'!$G$5:$G$25</definedName>
    <definedName name="solver_rhs1" localSheetId="1" hidden="1">Model!$G$5:$G$25</definedName>
    <definedName name="solver_rhs2" localSheetId="3" hidden="1">'100% Cabin Factor'!$F$5:$F$25</definedName>
    <definedName name="solver_rhs2" localSheetId="2" hidden="1">'90% Cabin Factor'!$F$5:$F$25</definedName>
    <definedName name="solver_rhs2" localSheetId="1" hidden="1">"integer"</definedName>
    <definedName name="solver_rhs3" localSheetId="3" hidden="1">'100% Cabin Factor'!$S$13</definedName>
    <definedName name="solver_rhs3" localSheetId="2" hidden="1">'90% Cabin Factor'!$T$13</definedName>
    <definedName name="solver_rhs3" localSheetId="1" hidden="1">Model!$F$5:$F$25</definedName>
    <definedName name="solver_rhs4" localSheetId="3" hidden="1">'100% Cabin Factor'!$S$13</definedName>
    <definedName name="solver_rhs4" localSheetId="2" hidden="1">'90% Cabin Factor'!$T$13</definedName>
    <definedName name="solver_rhs4" localSheetId="1" hidden="1">Model!$S$13</definedName>
    <definedName name="solver_rlx" localSheetId="3" hidden="1">2</definedName>
    <definedName name="solver_rlx" localSheetId="2" hidden="1">2</definedName>
    <definedName name="solver_rlx" localSheetId="1" hidden="1">2</definedName>
    <definedName name="solver_rsd" localSheetId="3" hidden="1">0</definedName>
    <definedName name="solver_rsd" localSheetId="2" hidden="1">0</definedName>
    <definedName name="solver_rsd" localSheetId="1" hidden="1">0</definedName>
    <definedName name="solver_scl" localSheetId="3" hidden="1">1</definedName>
    <definedName name="solver_scl" localSheetId="2" hidden="1">1</definedName>
    <definedName name="solver_scl" localSheetId="1" hidden="1">1</definedName>
    <definedName name="solver_sho" localSheetId="3" hidden="1">2</definedName>
    <definedName name="solver_sho" localSheetId="2" hidden="1">2</definedName>
    <definedName name="solver_sho" localSheetId="1" hidden="1">2</definedName>
    <definedName name="solver_ssz" localSheetId="3" hidden="1">100</definedName>
    <definedName name="solver_ssz" localSheetId="2" hidden="1">100</definedName>
    <definedName name="solver_ssz" localSheetId="1" hidden="1">100</definedName>
    <definedName name="solver_tim" localSheetId="3" hidden="1">2147483647</definedName>
    <definedName name="solver_tim" localSheetId="2" hidden="1">2147483647</definedName>
    <definedName name="solver_tim" localSheetId="1" hidden="1">2147483647</definedName>
    <definedName name="solver_tol" localSheetId="3" hidden="1">0.01</definedName>
    <definedName name="solver_tol" localSheetId="2" hidden="1">0.01</definedName>
    <definedName name="solver_tol" localSheetId="1" hidden="1">0.01</definedName>
    <definedName name="solver_typ" localSheetId="3" hidden="1">1</definedName>
    <definedName name="solver_typ" localSheetId="2" hidden="1">1</definedName>
    <definedName name="solver_typ" localSheetId="1" hidden="1">1</definedName>
    <definedName name="solver_val" localSheetId="3" hidden="1">0</definedName>
    <definedName name="solver_val" localSheetId="2" hidden="1">0</definedName>
    <definedName name="solver_val" localSheetId="1" hidden="1">0</definedName>
    <definedName name="solver_ver" localSheetId="3" hidden="1">3</definedName>
    <definedName name="solver_ver" localSheetId="2" hidden="1">3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5" i="3"/>
  <c r="Q4" i="3" s="1"/>
  <c r="G25" i="3"/>
  <c r="G24" i="3"/>
  <c r="F24" i="3"/>
  <c r="F25" i="3" s="1"/>
  <c r="G22" i="3"/>
  <c r="F22" i="3"/>
  <c r="G19" i="3"/>
  <c r="F19" i="3"/>
  <c r="G15" i="3"/>
  <c r="G16" i="3" s="1"/>
  <c r="F15" i="3"/>
  <c r="F16" i="3" s="1"/>
  <c r="G12" i="3"/>
  <c r="G13" i="3" s="1"/>
  <c r="F12" i="3"/>
  <c r="F13" i="3" s="1"/>
  <c r="Q11" i="3"/>
  <c r="Q9" i="3"/>
  <c r="G9" i="3"/>
  <c r="G10" i="3" s="1"/>
  <c r="F9" i="3"/>
  <c r="F10" i="3" s="1"/>
  <c r="G6" i="3"/>
  <c r="G7" i="3" s="1"/>
  <c r="F6" i="3"/>
  <c r="F7" i="3" s="1"/>
  <c r="G24" i="2"/>
  <c r="G25" i="2" s="1"/>
  <c r="F24" i="2"/>
  <c r="F25" i="2" s="1"/>
  <c r="G22" i="2"/>
  <c r="F22" i="2"/>
  <c r="G19" i="2"/>
  <c r="F19" i="2"/>
  <c r="G15" i="2"/>
  <c r="G16" i="2" s="1"/>
  <c r="F15" i="2"/>
  <c r="F16" i="2" s="1"/>
  <c r="G12" i="2"/>
  <c r="G13" i="2" s="1"/>
  <c r="F12" i="2"/>
  <c r="F13" i="2" s="1"/>
  <c r="P11" i="2"/>
  <c r="P9" i="2"/>
  <c r="G9" i="2"/>
  <c r="G10" i="2" s="1"/>
  <c r="F9" i="2"/>
  <c r="F10" i="2" s="1"/>
  <c r="G6" i="2"/>
  <c r="G7" i="2" s="1"/>
  <c r="F6" i="2"/>
  <c r="F7" i="2" s="1"/>
  <c r="P4" i="2"/>
  <c r="S8" i="2" s="1"/>
  <c r="P11" i="1"/>
  <c r="P9" i="1"/>
  <c r="P4" i="1"/>
  <c r="P12" i="1" s="1"/>
  <c r="G24" i="1"/>
  <c r="G25" i="1" s="1"/>
  <c r="F24" i="1"/>
  <c r="F25" i="1" s="1"/>
  <c r="G22" i="1"/>
  <c r="F22" i="1"/>
  <c r="G19" i="1"/>
  <c r="F19" i="1"/>
  <c r="G15" i="1"/>
  <c r="G16" i="1" s="1"/>
  <c r="F15" i="1"/>
  <c r="F16" i="1" s="1"/>
  <c r="G12" i="1"/>
  <c r="G13" i="1" s="1"/>
  <c r="F12" i="1"/>
  <c r="F13" i="1" s="1"/>
  <c r="G9" i="1"/>
  <c r="G10" i="1" s="1"/>
  <c r="F9" i="1"/>
  <c r="F10" i="1" s="1"/>
  <c r="G6" i="1"/>
  <c r="G7" i="1" s="1"/>
  <c r="F6" i="1"/>
  <c r="F7" i="1" s="1"/>
  <c r="Q10" i="3" l="1"/>
  <c r="T10" i="3"/>
  <c r="Q7" i="3"/>
  <c r="Q12" i="3"/>
  <c r="T7" i="3"/>
  <c r="T12" i="3"/>
  <c r="Q8" i="3"/>
  <c r="T8" i="3"/>
  <c r="T13" i="3"/>
  <c r="U13" i="3" s="1"/>
  <c r="S13" i="2"/>
  <c r="T13" i="2" s="1"/>
  <c r="P12" i="2"/>
  <c r="P10" i="2"/>
  <c r="S10" i="2"/>
  <c r="P7" i="2"/>
  <c r="S7" i="2"/>
  <c r="S12" i="2"/>
  <c r="P8" i="2"/>
  <c r="S13" i="1"/>
  <c r="P10" i="1"/>
  <c r="S12" i="1"/>
  <c r="S7" i="1"/>
  <c r="S8" i="1"/>
  <c r="S10" i="1"/>
  <c r="P7" i="1"/>
  <c r="P8" i="1"/>
  <c r="Q13" i="3" l="1"/>
  <c r="P13" i="2"/>
  <c r="P13" i="1"/>
</calcChain>
</file>

<file path=xl/sharedStrings.xml><?xml version="1.0" encoding="utf-8"?>
<sst xmlns="http://schemas.openxmlformats.org/spreadsheetml/2006/main" count="247" uniqueCount="33">
  <si>
    <t>Cabin Type</t>
  </si>
  <si>
    <t>Fare Class</t>
  </si>
  <si>
    <t>Fare</t>
  </si>
  <si>
    <t>Min Fare</t>
  </si>
  <si>
    <t>Max Fare</t>
  </si>
  <si>
    <t>Haven</t>
  </si>
  <si>
    <t>Early</t>
  </si>
  <si>
    <t>Standard</t>
  </si>
  <si>
    <t>Premium</t>
  </si>
  <si>
    <t>Suite</t>
  </si>
  <si>
    <t>Club Balcony</t>
  </si>
  <si>
    <t>Balcony</t>
  </si>
  <si>
    <t>Oceanview</t>
  </si>
  <si>
    <t>Inside</t>
  </si>
  <si>
    <t>Studio</t>
  </si>
  <si>
    <t>Capacity</t>
  </si>
  <si>
    <t>Route</t>
  </si>
  <si>
    <t>Miami to Bahamas</t>
  </si>
  <si>
    <t>The Best Cruise Line</t>
  </si>
  <si>
    <t>Revenue from Passenger Ticket</t>
  </si>
  <si>
    <t>Operating Cost</t>
  </si>
  <si>
    <t>Agent Commission (15%)</t>
  </si>
  <si>
    <t>Fuel (9%)</t>
  </si>
  <si>
    <t>Maintenance Fee (14%)</t>
  </si>
  <si>
    <t>Corporate Overhead (Fixed)</t>
  </si>
  <si>
    <t>Other Operating Cost (30%)</t>
  </si>
  <si>
    <t>Depreciation (Fixed)</t>
  </si>
  <si>
    <t>Operating Profit</t>
  </si>
  <si>
    <t>Condensed Income Statement</t>
  </si>
  <si>
    <t>Cabin Factor</t>
  </si>
  <si>
    <t>Cabin Factor 100%</t>
  </si>
  <si>
    <t>Cabin Factor 90%</t>
  </si>
  <si>
    <t>Change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</si>
</sst>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5" fontId="5" fillId="0" borderId="8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4" fillId="2" borderId="0" xfId="1" applyNumberFormat="1" applyFont="1" applyFill="1" applyBorder="1"/>
    <xf numFmtId="165" fontId="4" fillId="2" borderId="8" xfId="1" applyNumberFormat="1" applyFont="1" applyFill="1" applyBorder="1"/>
    <xf numFmtId="40" fontId="4" fillId="0" borderId="0" xfId="1" applyNumberFormat="1" applyFont="1"/>
    <xf numFmtId="0" fontId="4" fillId="0" borderId="0" xfId="0" applyFont="1" applyBorder="1"/>
    <xf numFmtId="0" fontId="6" fillId="0" borderId="0" xfId="0" applyFont="1" applyBorder="1"/>
    <xf numFmtId="165" fontId="4" fillId="0" borderId="0" xfId="1" applyNumberFormat="1" applyFont="1" applyBorder="1"/>
    <xf numFmtId="43" fontId="4" fillId="0" borderId="0" xfId="1" applyFont="1" applyBorder="1"/>
    <xf numFmtId="165" fontId="6" fillId="0" borderId="0" xfId="1" applyNumberFormat="1" applyFont="1" applyBorder="1"/>
    <xf numFmtId="43" fontId="4" fillId="0" borderId="0" xfId="0" applyNumberFormat="1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2" xfId="0" applyFont="1" applyBorder="1"/>
    <xf numFmtId="40" fontId="4" fillId="0" borderId="0" xfId="1" applyNumberFormat="1" applyFont="1" applyBorder="1"/>
    <xf numFmtId="0" fontId="4" fillId="0" borderId="4" xfId="0" applyFont="1" applyBorder="1"/>
    <xf numFmtId="38" fontId="4" fillId="0" borderId="0" xfId="1" applyNumberFormat="1" applyFont="1" applyBorder="1"/>
    <xf numFmtId="0" fontId="4" fillId="0" borderId="5" xfId="0" applyFont="1" applyBorder="1"/>
    <xf numFmtId="0" fontId="4" fillId="0" borderId="8" xfId="0" applyFont="1" applyBorder="1"/>
    <xf numFmtId="40" fontId="4" fillId="0" borderId="8" xfId="1" applyNumberFormat="1" applyFont="1" applyBorder="1"/>
    <xf numFmtId="0" fontId="4" fillId="0" borderId="6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9" fillId="0" borderId="0" xfId="1" applyNumberFormat="1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5" fontId="9" fillId="0" borderId="8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0" fillId="0" borderId="0" xfId="0" applyFont="1" applyBorder="1"/>
    <xf numFmtId="0" fontId="11" fillId="0" borderId="0" xfId="0" applyFont="1" applyBorder="1"/>
    <xf numFmtId="38" fontId="11" fillId="0" borderId="0" xfId="1" applyNumberFormat="1" applyFont="1" applyBorder="1"/>
    <xf numFmtId="0" fontId="11" fillId="0" borderId="4" xfId="0" applyFont="1" applyBorder="1"/>
    <xf numFmtId="40" fontId="11" fillId="0" borderId="0" xfId="1" applyNumberFormat="1" applyFont="1" applyBorder="1"/>
    <xf numFmtId="0" fontId="11" fillId="0" borderId="5" xfId="0" applyFont="1" applyBorder="1"/>
    <xf numFmtId="0" fontId="11" fillId="0" borderId="8" xfId="0" applyFont="1" applyBorder="1"/>
    <xf numFmtId="40" fontId="11" fillId="0" borderId="8" xfId="1" applyNumberFormat="1" applyFont="1" applyBorder="1"/>
    <xf numFmtId="0" fontId="11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0" fontId="4" fillId="3" borderId="0" xfId="0" applyFont="1" applyFill="1" applyBorder="1"/>
    <xf numFmtId="0" fontId="7" fillId="0" borderId="2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297180</xdr:colOff>
      <xdr:row>3</xdr:row>
      <xdr:rowOff>106680</xdr:rowOff>
    </xdr:from>
    <xdr:to>
      <xdr:col>12</xdr:col>
      <xdr:colOff>314899</xdr:colOff>
      <xdr:row>20</xdr:row>
      <xdr:rowOff>91440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E60C25-2552-EFC6-32B2-3359207D9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5580" y="685800"/>
          <a:ext cx="4894519" cy="301752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27</xdr:row>
      <xdr:rowOff>106681</xdr:rowOff>
    </xdr:from>
    <xdr:to>
      <xdr:col>12</xdr:col>
      <xdr:colOff>354483</xdr:colOff>
      <xdr:row>45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E76D96-1723-C64B-D355-898E8785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05101" y="4899661"/>
          <a:ext cx="4964582" cy="3093719"/>
        </a:xfrm>
        <a:prstGeom prst="rect">
          <a:avLst/>
        </a:prstGeom>
      </xdr:spPr>
    </xdr:pic>
    <xdr:clientData/>
  </xdr:twoCellAnchor>
  <xdr:twoCellAnchor editAs="oneCell">
    <xdr:from>
      <xdr:col>15</xdr:col>
      <xdr:colOff>411480</xdr:colOff>
      <xdr:row>20</xdr:row>
      <xdr:rowOff>38100</xdr:rowOff>
    </xdr:from>
    <xdr:to>
      <xdr:col>27</xdr:col>
      <xdr:colOff>434976</xdr:colOff>
      <xdr:row>27</xdr:row>
      <xdr:rowOff>68694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DE624D-67C7-8F48-2375-7C80AD277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55480" y="3596640"/>
          <a:ext cx="7338696" cy="1318374"/>
        </a:xfrm>
        <a:prstGeom prst="rect">
          <a:avLst/>
        </a:prstGeom>
      </xdr:spPr>
    </xdr:pic>
    <xdr:clientData/>
  </xdr:twoCellAnchor>
  <xdr:twoCellAnchor editAs="oneCell">
    <xdr:from>
      <xdr:col>15</xdr:col>
      <xdr:colOff>304800</xdr:colOff>
      <xdr:row>27</xdr:row>
      <xdr:rowOff>137160</xdr:rowOff>
    </xdr:from>
    <xdr:to>
      <xdr:col>28</xdr:col>
      <xdr:colOff>38764</xdr:colOff>
      <xdr:row>43</xdr:row>
      <xdr:rowOff>167886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C8DC2C-DD1F-F8F0-DDCF-C5FF7AF16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448800" y="4983480"/>
          <a:ext cx="7658764" cy="2834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BC5A2-71F6-4F39-BDF8-86B82D8BE504}">
  <dimension ref="E2:AC47"/>
  <sheetViews>
    <sheetView showGridLines="0" workbookViewId="0">
      <selection activeCell="R14" sqref="R14"/>
    </sheetView>
  </sheetViews>
  <sheetFormatPr defaultRowHeight="13.8" x14ac:dyDescent="0.25"/>
  <cols>
    <col min="1" max="16384" width="8.88671875" style="2"/>
  </cols>
  <sheetData>
    <row r="2" spans="5:29" ht="14.4" thickBot="1" x14ac:dyDescent="0.3"/>
    <row r="3" spans="5:29" ht="17.399999999999999" x14ac:dyDescent="0.3">
      <c r="E3" s="69" t="s">
        <v>30</v>
      </c>
      <c r="F3" s="70"/>
      <c r="G3" s="70"/>
      <c r="H3" s="70"/>
      <c r="I3" s="70"/>
      <c r="J3" s="70"/>
      <c r="K3" s="70"/>
      <c r="L3" s="70"/>
      <c r="M3" s="29"/>
    </row>
    <row r="4" spans="5:29" x14ac:dyDescent="0.25">
      <c r="E4" s="3"/>
      <c r="F4" s="21"/>
      <c r="G4" s="21"/>
      <c r="H4" s="21"/>
      <c r="I4" s="21"/>
      <c r="J4" s="21"/>
      <c r="K4" s="21"/>
      <c r="L4" s="21"/>
      <c r="M4" s="31"/>
    </row>
    <row r="5" spans="5:29" x14ac:dyDescent="0.25">
      <c r="E5" s="3"/>
      <c r="F5" s="21"/>
      <c r="G5" s="21"/>
      <c r="H5" s="21"/>
      <c r="I5" s="21"/>
      <c r="J5" s="21"/>
      <c r="K5" s="21"/>
      <c r="L5" s="21"/>
      <c r="M5" s="31"/>
    </row>
    <row r="6" spans="5:29" x14ac:dyDescent="0.25">
      <c r="E6" s="3"/>
      <c r="F6" s="21"/>
      <c r="G6" s="21"/>
      <c r="H6" s="21"/>
      <c r="I6" s="21"/>
      <c r="J6" s="21"/>
      <c r="K6" s="21"/>
      <c r="L6" s="21"/>
      <c r="M6" s="31"/>
    </row>
    <row r="7" spans="5:29" x14ac:dyDescent="0.25">
      <c r="E7" s="3"/>
      <c r="F7" s="21"/>
      <c r="G7" s="21"/>
      <c r="H7" s="21"/>
      <c r="I7" s="21"/>
      <c r="J7" s="21"/>
      <c r="K7" s="21"/>
      <c r="L7" s="21"/>
      <c r="M7" s="31"/>
    </row>
    <row r="8" spans="5:29" x14ac:dyDescent="0.25">
      <c r="E8" s="3"/>
      <c r="F8" s="21"/>
      <c r="G8" s="21"/>
      <c r="H8" s="21"/>
      <c r="I8" s="21"/>
      <c r="J8" s="21"/>
      <c r="K8" s="21"/>
      <c r="L8" s="21"/>
      <c r="M8" s="31"/>
    </row>
    <row r="9" spans="5:29" x14ac:dyDescent="0.25">
      <c r="E9" s="3"/>
      <c r="F9" s="21"/>
      <c r="G9" s="21"/>
      <c r="H9" s="21"/>
      <c r="I9" s="21"/>
      <c r="J9" s="21"/>
      <c r="K9" s="21"/>
      <c r="L9" s="21"/>
      <c r="M9" s="31"/>
    </row>
    <row r="10" spans="5:29" x14ac:dyDescent="0.25">
      <c r="E10" s="3"/>
      <c r="F10" s="21"/>
      <c r="G10" s="21"/>
      <c r="H10" s="21"/>
      <c r="I10" s="21"/>
      <c r="J10" s="21"/>
      <c r="K10" s="21"/>
      <c r="L10" s="21"/>
      <c r="M10" s="31"/>
    </row>
    <row r="11" spans="5:29" x14ac:dyDescent="0.25">
      <c r="E11" s="3"/>
      <c r="F11" s="21"/>
      <c r="G11" s="21"/>
      <c r="H11" s="21"/>
      <c r="I11" s="21"/>
      <c r="J11" s="21"/>
      <c r="K11" s="21"/>
      <c r="L11" s="21"/>
      <c r="M11" s="31"/>
    </row>
    <row r="12" spans="5:29" x14ac:dyDescent="0.25">
      <c r="E12" s="3"/>
      <c r="F12" s="21"/>
      <c r="G12" s="21"/>
      <c r="H12" s="21"/>
      <c r="I12" s="21"/>
      <c r="J12" s="21"/>
      <c r="K12" s="21"/>
      <c r="L12" s="21"/>
      <c r="M12" s="31"/>
    </row>
    <row r="13" spans="5:29" x14ac:dyDescent="0.25">
      <c r="E13" s="3"/>
      <c r="F13" s="21"/>
      <c r="G13" s="21"/>
      <c r="H13" s="21"/>
      <c r="I13" s="21"/>
      <c r="J13" s="21"/>
      <c r="K13" s="21"/>
      <c r="L13" s="21"/>
      <c r="M13" s="31"/>
    </row>
    <row r="14" spans="5:29" x14ac:dyDescent="0.25">
      <c r="E14" s="3"/>
      <c r="F14" s="21"/>
      <c r="G14" s="21"/>
      <c r="H14" s="21"/>
      <c r="I14" s="21"/>
      <c r="J14" s="21"/>
      <c r="K14" s="21"/>
      <c r="L14" s="21"/>
      <c r="M14" s="31"/>
    </row>
    <row r="15" spans="5:29" ht="14.4" thickBot="1" x14ac:dyDescent="0.3">
      <c r="E15" s="3"/>
      <c r="F15" s="21"/>
      <c r="G15" s="21"/>
      <c r="H15" s="21"/>
      <c r="I15" s="21"/>
      <c r="J15" s="21"/>
      <c r="K15" s="21"/>
      <c r="L15" s="21"/>
      <c r="M15" s="31"/>
    </row>
    <row r="16" spans="5:29" x14ac:dyDescent="0.25">
      <c r="E16" s="3"/>
      <c r="F16" s="21"/>
      <c r="G16" s="21"/>
      <c r="H16" s="21"/>
      <c r="I16" s="21"/>
      <c r="J16" s="21"/>
      <c r="K16" s="21"/>
      <c r="L16" s="21"/>
      <c r="M16" s="31"/>
      <c r="O16" s="27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9"/>
    </row>
    <row r="17" spans="5:29" x14ac:dyDescent="0.25">
      <c r="E17" s="3"/>
      <c r="F17" s="21"/>
      <c r="G17" s="21"/>
      <c r="H17" s="21"/>
      <c r="I17" s="21"/>
      <c r="J17" s="21"/>
      <c r="K17" s="21"/>
      <c r="L17" s="21"/>
      <c r="M17" s="31"/>
      <c r="O17" s="3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31"/>
    </row>
    <row r="18" spans="5:29" ht="17.399999999999999" x14ac:dyDescent="0.3">
      <c r="E18" s="3"/>
      <c r="F18" s="21"/>
      <c r="G18" s="21"/>
      <c r="H18" s="21"/>
      <c r="I18" s="21"/>
      <c r="J18" s="21"/>
      <c r="K18" s="21"/>
      <c r="L18" s="21"/>
      <c r="M18" s="31"/>
      <c r="O18" s="3"/>
      <c r="P18" s="21"/>
      <c r="Q18" s="21"/>
      <c r="R18" s="21"/>
      <c r="S18" s="21"/>
      <c r="U18" s="71" t="s">
        <v>32</v>
      </c>
      <c r="V18" s="21"/>
      <c r="W18" s="21"/>
      <c r="X18" s="21"/>
      <c r="Y18" s="21"/>
      <c r="Z18" s="21"/>
      <c r="AA18" s="21"/>
      <c r="AB18" s="21"/>
      <c r="AC18" s="31"/>
    </row>
    <row r="19" spans="5:29" x14ac:dyDescent="0.25">
      <c r="E19" s="3"/>
      <c r="F19" s="21"/>
      <c r="G19" s="21"/>
      <c r="H19" s="21"/>
      <c r="I19" s="21"/>
      <c r="J19" s="21"/>
      <c r="K19" s="21"/>
      <c r="L19" s="21"/>
      <c r="M19" s="31"/>
      <c r="O19" s="3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31"/>
    </row>
    <row r="20" spans="5:29" x14ac:dyDescent="0.25">
      <c r="E20" s="3"/>
      <c r="F20" s="21"/>
      <c r="G20" s="21"/>
      <c r="H20" s="21"/>
      <c r="I20" s="21"/>
      <c r="J20" s="21"/>
      <c r="K20" s="21"/>
      <c r="L20" s="21"/>
      <c r="M20" s="31"/>
      <c r="O20" s="3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31"/>
    </row>
    <row r="21" spans="5:29" x14ac:dyDescent="0.25">
      <c r="E21" s="3"/>
      <c r="F21" s="21"/>
      <c r="G21" s="21"/>
      <c r="H21" s="21"/>
      <c r="I21" s="21"/>
      <c r="J21" s="21"/>
      <c r="K21" s="21"/>
      <c r="L21" s="21"/>
      <c r="M21" s="31"/>
      <c r="O21" s="3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31"/>
    </row>
    <row r="22" spans="5:29" ht="14.4" thickBot="1" x14ac:dyDescent="0.3">
      <c r="E22" s="33"/>
      <c r="F22" s="34"/>
      <c r="G22" s="34"/>
      <c r="H22" s="34"/>
      <c r="I22" s="34"/>
      <c r="J22" s="34"/>
      <c r="K22" s="34"/>
      <c r="L22" s="34"/>
      <c r="M22" s="36"/>
      <c r="O22" s="3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31"/>
    </row>
    <row r="23" spans="5:29" x14ac:dyDescent="0.25">
      <c r="O23" s="3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31"/>
    </row>
    <row r="24" spans="5:29" x14ac:dyDescent="0.25">
      <c r="O24" s="3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31"/>
    </row>
    <row r="25" spans="5:29" ht="14.4" thickBot="1" x14ac:dyDescent="0.3">
      <c r="O25" s="3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31"/>
    </row>
    <row r="26" spans="5:29" x14ac:dyDescent="0.25">
      <c r="E26" s="27"/>
      <c r="F26" s="28"/>
      <c r="G26" s="28"/>
      <c r="H26" s="28"/>
      <c r="I26" s="28"/>
      <c r="J26" s="28"/>
      <c r="K26" s="28"/>
      <c r="L26" s="28"/>
      <c r="M26" s="29"/>
      <c r="O26" s="3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31"/>
    </row>
    <row r="27" spans="5:29" ht="17.399999999999999" x14ac:dyDescent="0.3">
      <c r="E27" s="3"/>
      <c r="F27" s="21"/>
      <c r="G27" s="21"/>
      <c r="H27" s="71" t="s">
        <v>31</v>
      </c>
      <c r="I27" s="21"/>
      <c r="J27" s="21"/>
      <c r="K27" s="21"/>
      <c r="L27" s="21"/>
      <c r="M27" s="31"/>
      <c r="O27" s="3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31"/>
    </row>
    <row r="28" spans="5:29" x14ac:dyDescent="0.25">
      <c r="E28" s="3"/>
      <c r="F28" s="21"/>
      <c r="G28" s="21"/>
      <c r="H28" s="21"/>
      <c r="I28" s="21"/>
      <c r="J28" s="21"/>
      <c r="K28" s="21"/>
      <c r="L28" s="21"/>
      <c r="M28" s="31"/>
      <c r="O28" s="3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31"/>
    </row>
    <row r="29" spans="5:29" x14ac:dyDescent="0.25">
      <c r="E29" s="3"/>
      <c r="F29" s="21"/>
      <c r="G29" s="21"/>
      <c r="H29" s="21"/>
      <c r="I29" s="21"/>
      <c r="J29" s="21"/>
      <c r="K29" s="21"/>
      <c r="L29" s="21"/>
      <c r="M29" s="31"/>
      <c r="O29" s="3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31"/>
    </row>
    <row r="30" spans="5:29" x14ac:dyDescent="0.25">
      <c r="E30" s="3"/>
      <c r="F30" s="21"/>
      <c r="G30" s="21"/>
      <c r="H30" s="21"/>
      <c r="I30" s="21"/>
      <c r="J30" s="21"/>
      <c r="K30" s="21"/>
      <c r="L30" s="21"/>
      <c r="M30" s="31"/>
      <c r="O30" s="3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31"/>
    </row>
    <row r="31" spans="5:29" x14ac:dyDescent="0.25">
      <c r="E31" s="3"/>
      <c r="F31" s="21"/>
      <c r="G31" s="21"/>
      <c r="H31" s="21"/>
      <c r="I31" s="21"/>
      <c r="J31" s="21"/>
      <c r="K31" s="21"/>
      <c r="L31" s="21"/>
      <c r="M31" s="31"/>
      <c r="O31" s="3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31"/>
    </row>
    <row r="32" spans="5:29" x14ac:dyDescent="0.25">
      <c r="E32" s="3"/>
      <c r="F32" s="21"/>
      <c r="G32" s="21"/>
      <c r="H32" s="21"/>
      <c r="I32" s="21"/>
      <c r="J32" s="21"/>
      <c r="K32" s="21"/>
      <c r="L32" s="21"/>
      <c r="M32" s="31"/>
      <c r="O32" s="3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31"/>
    </row>
    <row r="33" spans="5:29" x14ac:dyDescent="0.25">
      <c r="E33" s="3"/>
      <c r="F33" s="21"/>
      <c r="G33" s="21"/>
      <c r="H33" s="21"/>
      <c r="I33" s="21"/>
      <c r="J33" s="21"/>
      <c r="K33" s="21"/>
      <c r="L33" s="21"/>
      <c r="M33" s="31"/>
      <c r="O33" s="3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31"/>
    </row>
    <row r="34" spans="5:29" x14ac:dyDescent="0.25">
      <c r="E34" s="3"/>
      <c r="F34" s="21"/>
      <c r="G34" s="21"/>
      <c r="H34" s="21"/>
      <c r="I34" s="21"/>
      <c r="J34" s="21"/>
      <c r="K34" s="21"/>
      <c r="L34" s="21"/>
      <c r="M34" s="31"/>
      <c r="O34" s="3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31"/>
    </row>
    <row r="35" spans="5:29" x14ac:dyDescent="0.25">
      <c r="E35" s="3"/>
      <c r="F35" s="21"/>
      <c r="G35" s="21"/>
      <c r="H35" s="21"/>
      <c r="I35" s="21"/>
      <c r="J35" s="21"/>
      <c r="K35" s="21"/>
      <c r="L35" s="21"/>
      <c r="M35" s="31"/>
      <c r="O35" s="3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31"/>
    </row>
    <row r="36" spans="5:29" x14ac:dyDescent="0.25">
      <c r="E36" s="3"/>
      <c r="F36" s="21"/>
      <c r="G36" s="21"/>
      <c r="H36" s="21"/>
      <c r="I36" s="21"/>
      <c r="J36" s="21"/>
      <c r="K36" s="21"/>
      <c r="L36" s="21"/>
      <c r="M36" s="31"/>
      <c r="O36" s="3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31"/>
    </row>
    <row r="37" spans="5:29" x14ac:dyDescent="0.25">
      <c r="E37" s="3"/>
      <c r="F37" s="21"/>
      <c r="G37" s="21"/>
      <c r="H37" s="21"/>
      <c r="I37" s="21"/>
      <c r="J37" s="21"/>
      <c r="K37" s="21"/>
      <c r="L37" s="21"/>
      <c r="M37" s="31"/>
      <c r="O37" s="3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31"/>
    </row>
    <row r="38" spans="5:29" x14ac:dyDescent="0.25">
      <c r="E38" s="3"/>
      <c r="F38" s="21"/>
      <c r="G38" s="21"/>
      <c r="H38" s="21"/>
      <c r="I38" s="21"/>
      <c r="J38" s="21"/>
      <c r="K38" s="21"/>
      <c r="L38" s="21"/>
      <c r="M38" s="31"/>
      <c r="O38" s="3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31"/>
    </row>
    <row r="39" spans="5:29" x14ac:dyDescent="0.25">
      <c r="E39" s="3"/>
      <c r="F39" s="21"/>
      <c r="G39" s="21"/>
      <c r="H39" s="21"/>
      <c r="I39" s="21"/>
      <c r="J39" s="21"/>
      <c r="K39" s="21"/>
      <c r="L39" s="21"/>
      <c r="M39" s="31"/>
      <c r="O39" s="3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31"/>
    </row>
    <row r="40" spans="5:29" x14ac:dyDescent="0.25">
      <c r="E40" s="3"/>
      <c r="F40" s="21"/>
      <c r="G40" s="21"/>
      <c r="H40" s="21"/>
      <c r="I40" s="21"/>
      <c r="J40" s="21"/>
      <c r="K40" s="21"/>
      <c r="L40" s="21"/>
      <c r="M40" s="31"/>
      <c r="O40" s="3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31"/>
    </row>
    <row r="41" spans="5:29" x14ac:dyDescent="0.25">
      <c r="E41" s="3"/>
      <c r="F41" s="21"/>
      <c r="G41" s="21"/>
      <c r="H41" s="21"/>
      <c r="I41" s="21"/>
      <c r="J41" s="21"/>
      <c r="K41" s="21"/>
      <c r="L41" s="21"/>
      <c r="M41" s="31"/>
      <c r="O41" s="3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31"/>
    </row>
    <row r="42" spans="5:29" x14ac:dyDescent="0.25">
      <c r="E42" s="3"/>
      <c r="F42" s="21"/>
      <c r="G42" s="21"/>
      <c r="H42" s="21"/>
      <c r="I42" s="21"/>
      <c r="J42" s="21"/>
      <c r="K42" s="21"/>
      <c r="L42" s="21"/>
      <c r="M42" s="31"/>
      <c r="O42" s="3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31"/>
    </row>
    <row r="43" spans="5:29" x14ac:dyDescent="0.25">
      <c r="E43" s="3"/>
      <c r="F43" s="21"/>
      <c r="G43" s="21"/>
      <c r="H43" s="21"/>
      <c r="I43" s="21"/>
      <c r="J43" s="21"/>
      <c r="K43" s="21"/>
      <c r="L43" s="21"/>
      <c r="M43" s="31"/>
      <c r="O43" s="3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31"/>
    </row>
    <row r="44" spans="5:29" x14ac:dyDescent="0.25">
      <c r="E44" s="3"/>
      <c r="F44" s="21"/>
      <c r="G44" s="21"/>
      <c r="H44" s="21"/>
      <c r="I44" s="21"/>
      <c r="J44" s="21"/>
      <c r="K44" s="21"/>
      <c r="L44" s="21"/>
      <c r="M44" s="31"/>
      <c r="O44" s="3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31"/>
    </row>
    <row r="45" spans="5:29" x14ac:dyDescent="0.25">
      <c r="E45" s="3"/>
      <c r="F45" s="21"/>
      <c r="G45" s="21"/>
      <c r="H45" s="21"/>
      <c r="I45" s="21"/>
      <c r="J45" s="21"/>
      <c r="K45" s="21"/>
      <c r="L45" s="21"/>
      <c r="M45" s="31"/>
      <c r="O45" s="3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31"/>
    </row>
    <row r="46" spans="5:29" ht="14.4" thickBot="1" x14ac:dyDescent="0.3">
      <c r="E46" s="3"/>
      <c r="F46" s="21"/>
      <c r="G46" s="21"/>
      <c r="H46" s="21"/>
      <c r="I46" s="21"/>
      <c r="J46" s="21"/>
      <c r="K46" s="21"/>
      <c r="L46" s="21"/>
      <c r="M46" s="31"/>
      <c r="O46" s="33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6"/>
    </row>
    <row r="47" spans="5:29" ht="14.4" thickBot="1" x14ac:dyDescent="0.3">
      <c r="E47" s="33"/>
      <c r="F47" s="34"/>
      <c r="G47" s="34"/>
      <c r="H47" s="34"/>
      <c r="I47" s="34"/>
      <c r="J47" s="34"/>
      <c r="K47" s="34"/>
      <c r="L47" s="34"/>
      <c r="M47" s="36"/>
    </row>
  </sheetData>
  <mergeCells count="1">
    <mergeCell ref="E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5"/>
  <sheetViews>
    <sheetView showGridLines="0" workbookViewId="0">
      <selection activeCell="N21" sqref="N21"/>
    </sheetView>
  </sheetViews>
  <sheetFormatPr defaultRowHeight="13.8" x14ac:dyDescent="0.25"/>
  <cols>
    <col min="1" max="1" width="8.88671875" style="2"/>
    <col min="2" max="2" width="16.21875" style="2" bestFit="1" customWidth="1"/>
    <col min="3" max="3" width="11.88671875" style="2" bestFit="1" customWidth="1"/>
    <col min="4" max="4" width="8.33203125" style="2" bestFit="1" customWidth="1"/>
    <col min="5" max="5" width="7.5546875" style="2" customWidth="1"/>
    <col min="6" max="6" width="8.88671875" style="2" bestFit="1" customWidth="1"/>
    <col min="7" max="7" width="9.21875" style="2" bestFit="1" customWidth="1"/>
    <col min="8" max="8" width="8.6640625" style="2" bestFit="1" customWidth="1"/>
    <col min="9" max="10" width="8.88671875" style="2"/>
    <col min="11" max="11" width="1.6640625" style="2" customWidth="1"/>
    <col min="12" max="15" width="8.88671875" style="2"/>
    <col min="16" max="16" width="14.109375" style="20" bestFit="1" customWidth="1"/>
    <col min="17" max="18" width="8.88671875" style="2"/>
    <col min="19" max="21" width="13.109375" style="2" bestFit="1" customWidth="1"/>
    <col min="22" max="22" width="12.33203125" style="2" customWidth="1"/>
    <col min="23" max="24" width="8.88671875" style="2"/>
    <col min="25" max="25" width="25.5546875" style="2" bestFit="1" customWidth="1"/>
    <col min="26" max="26" width="13.6640625" style="2" bestFit="1" customWidth="1"/>
    <col min="27" max="27" width="8.88671875" style="2"/>
    <col min="28" max="28" width="13.109375" style="2" bestFit="1" customWidth="1"/>
    <col min="29" max="16384" width="8.88671875" style="2"/>
  </cols>
  <sheetData>
    <row r="1" spans="2:30" ht="14.4" thickBot="1" x14ac:dyDescent="0.3"/>
    <row r="2" spans="2:30" ht="14.4" customHeight="1" x14ac:dyDescent="0.25">
      <c r="B2" s="12" t="s">
        <v>18</v>
      </c>
      <c r="C2" s="13"/>
      <c r="D2" s="13"/>
      <c r="E2" s="13"/>
      <c r="F2" s="13"/>
      <c r="G2" s="13"/>
      <c r="H2" s="14"/>
      <c r="J2" s="12" t="s">
        <v>28</v>
      </c>
      <c r="K2" s="13"/>
      <c r="L2" s="13"/>
      <c r="M2" s="13"/>
      <c r="N2" s="13"/>
      <c r="O2" s="13"/>
      <c r="P2" s="13"/>
      <c r="Q2" s="14"/>
    </row>
    <row r="3" spans="2:30" ht="15" customHeight="1" thickBot="1" x14ac:dyDescent="0.3">
      <c r="B3" s="15"/>
      <c r="C3" s="16"/>
      <c r="D3" s="16"/>
      <c r="E3" s="16"/>
      <c r="F3" s="16"/>
      <c r="G3" s="16"/>
      <c r="H3" s="17"/>
      <c r="J3" s="15"/>
      <c r="K3" s="16"/>
      <c r="L3" s="16"/>
      <c r="M3" s="16"/>
      <c r="N3" s="16"/>
      <c r="O3" s="16"/>
      <c r="P3" s="16"/>
      <c r="Q3" s="17"/>
    </row>
    <row r="4" spans="2:30" ht="27.6" x14ac:dyDescent="0.25">
      <c r="B4" s="37" t="s">
        <v>16</v>
      </c>
      <c r="C4" s="38" t="s">
        <v>0</v>
      </c>
      <c r="D4" s="38" t="s">
        <v>1</v>
      </c>
      <c r="E4" s="38" t="s">
        <v>2</v>
      </c>
      <c r="F4" s="38" t="s">
        <v>3</v>
      </c>
      <c r="G4" s="38" t="s">
        <v>4</v>
      </c>
      <c r="H4" s="66" t="s">
        <v>15</v>
      </c>
      <c r="J4" s="3"/>
      <c r="K4" s="22" t="s">
        <v>19</v>
      </c>
      <c r="L4" s="21"/>
      <c r="M4" s="21"/>
      <c r="N4" s="21"/>
      <c r="O4" s="21"/>
      <c r="P4" s="32">
        <f>SUMPRODUCT(E5:E25,H5:H25)</f>
        <v>0</v>
      </c>
      <c r="Q4" s="31"/>
      <c r="T4" s="39"/>
    </row>
    <row r="5" spans="2:30" x14ac:dyDescent="0.25">
      <c r="B5" s="40" t="s">
        <v>17</v>
      </c>
      <c r="C5" s="41" t="s">
        <v>5</v>
      </c>
      <c r="D5" s="41" t="s">
        <v>6</v>
      </c>
      <c r="E5" s="18"/>
      <c r="F5" s="42">
        <v>4000</v>
      </c>
      <c r="G5" s="42">
        <v>6000</v>
      </c>
      <c r="H5" s="67">
        <v>50</v>
      </c>
      <c r="J5" s="3"/>
      <c r="K5" s="21"/>
      <c r="L5" s="21"/>
      <c r="M5" s="21"/>
      <c r="N5" s="21"/>
      <c r="O5" s="21"/>
      <c r="P5" s="30"/>
      <c r="Q5" s="3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2:30" x14ac:dyDescent="0.25">
      <c r="B6" s="40" t="s">
        <v>17</v>
      </c>
      <c r="C6" s="41" t="s">
        <v>5</v>
      </c>
      <c r="D6" s="41" t="s">
        <v>7</v>
      </c>
      <c r="E6" s="18"/>
      <c r="F6" s="42">
        <f>1.1*F5</f>
        <v>4400</v>
      </c>
      <c r="G6" s="42">
        <f>1.1*G5</f>
        <v>6600.0000000000009</v>
      </c>
      <c r="H6" s="67">
        <v>40</v>
      </c>
      <c r="J6" s="3"/>
      <c r="K6" s="22" t="s">
        <v>20</v>
      </c>
      <c r="L6" s="21"/>
      <c r="M6" s="21"/>
      <c r="N6" s="21"/>
      <c r="O6" s="21"/>
      <c r="P6" s="30"/>
      <c r="Q6" s="31"/>
      <c r="R6" s="21"/>
      <c r="S6" s="21"/>
      <c r="T6" s="22"/>
      <c r="U6" s="22"/>
      <c r="V6" s="22"/>
      <c r="W6" s="21"/>
      <c r="X6" s="21"/>
      <c r="Y6" s="22"/>
      <c r="Z6" s="23"/>
      <c r="AA6" s="21"/>
      <c r="AB6" s="21"/>
      <c r="AC6" s="21"/>
      <c r="AD6" s="21"/>
    </row>
    <row r="7" spans="2:30" x14ac:dyDescent="0.25">
      <c r="B7" s="40" t="s">
        <v>17</v>
      </c>
      <c r="C7" s="41" t="s">
        <v>5</v>
      </c>
      <c r="D7" s="41" t="s">
        <v>8</v>
      </c>
      <c r="E7" s="18"/>
      <c r="F7" s="42">
        <f>1.15*F6</f>
        <v>5060</v>
      </c>
      <c r="G7" s="42">
        <f>1.15*G6</f>
        <v>7590.0000000000009</v>
      </c>
      <c r="H7" s="67">
        <v>25</v>
      </c>
      <c r="J7" s="3"/>
      <c r="K7" s="21"/>
      <c r="L7" s="21" t="s">
        <v>22</v>
      </c>
      <c r="M7" s="21"/>
      <c r="N7" s="21"/>
      <c r="O7" s="21"/>
      <c r="P7" s="30">
        <f>P4*0.09*-1</f>
        <v>0</v>
      </c>
      <c r="Q7" s="31"/>
      <c r="R7" s="21"/>
      <c r="S7" s="21">
        <f>P4*0.09</f>
        <v>0</v>
      </c>
      <c r="T7" s="24"/>
      <c r="U7" s="24"/>
      <c r="V7" s="24"/>
      <c r="W7" s="21"/>
      <c r="X7" s="21"/>
      <c r="Y7" s="21"/>
      <c r="Z7" s="23"/>
      <c r="AA7" s="21"/>
      <c r="AB7" s="21"/>
      <c r="AC7" s="21"/>
      <c r="AD7" s="21"/>
    </row>
    <row r="8" spans="2:30" x14ac:dyDescent="0.25">
      <c r="B8" s="40" t="s">
        <v>17</v>
      </c>
      <c r="C8" s="41" t="s">
        <v>9</v>
      </c>
      <c r="D8" s="41" t="s">
        <v>6</v>
      </c>
      <c r="E8" s="18"/>
      <c r="F8" s="42">
        <v>2500</v>
      </c>
      <c r="G8" s="42">
        <v>3300</v>
      </c>
      <c r="H8" s="67">
        <v>80</v>
      </c>
      <c r="J8" s="3"/>
      <c r="K8" s="21"/>
      <c r="L8" s="21" t="s">
        <v>21</v>
      </c>
      <c r="M8" s="21"/>
      <c r="N8" s="21"/>
      <c r="O8" s="21"/>
      <c r="P8" s="30">
        <f>P4*0.15*-1</f>
        <v>0</v>
      </c>
      <c r="Q8" s="31"/>
      <c r="R8" s="21"/>
      <c r="S8" s="21">
        <f>P4*0.15</f>
        <v>0</v>
      </c>
      <c r="T8" s="21"/>
      <c r="U8" s="21"/>
      <c r="V8" s="21"/>
      <c r="W8" s="21"/>
      <c r="X8" s="21"/>
      <c r="Y8" s="21"/>
      <c r="Z8" s="23"/>
      <c r="AA8" s="21"/>
      <c r="AB8" s="21"/>
      <c r="AC8" s="21"/>
      <c r="AD8" s="21"/>
    </row>
    <row r="9" spans="2:30" x14ac:dyDescent="0.25">
      <c r="B9" s="40" t="s">
        <v>17</v>
      </c>
      <c r="C9" s="41" t="s">
        <v>9</v>
      </c>
      <c r="D9" s="41" t="s">
        <v>7</v>
      </c>
      <c r="E9" s="18"/>
      <c r="F9" s="42">
        <f>1.1*F8</f>
        <v>2750</v>
      </c>
      <c r="G9" s="42">
        <f>1.1*G8</f>
        <v>3630.0000000000005</v>
      </c>
      <c r="H9" s="67">
        <v>75</v>
      </c>
      <c r="J9" s="3"/>
      <c r="K9" s="21"/>
      <c r="L9" s="21" t="s">
        <v>26</v>
      </c>
      <c r="M9" s="21"/>
      <c r="N9" s="21"/>
      <c r="O9" s="21"/>
      <c r="P9" s="30">
        <f>1*-300000</f>
        <v>-300000</v>
      </c>
      <c r="Q9" s="31"/>
      <c r="R9" s="21"/>
      <c r="S9" s="21"/>
      <c r="T9" s="21"/>
      <c r="U9" s="21"/>
      <c r="V9" s="21"/>
      <c r="W9" s="21"/>
      <c r="X9" s="21"/>
      <c r="Y9" s="21"/>
      <c r="Z9" s="23"/>
      <c r="AA9" s="21"/>
      <c r="AB9" s="21"/>
      <c r="AC9" s="21"/>
      <c r="AD9" s="21"/>
    </row>
    <row r="10" spans="2:30" x14ac:dyDescent="0.25">
      <c r="B10" s="40" t="s">
        <v>17</v>
      </c>
      <c r="C10" s="41" t="s">
        <v>9</v>
      </c>
      <c r="D10" s="41" t="s">
        <v>8</v>
      </c>
      <c r="E10" s="18"/>
      <c r="F10" s="42">
        <f>1.15*F9</f>
        <v>3162.4999999999995</v>
      </c>
      <c r="G10" s="42">
        <f>1.15*G9</f>
        <v>4174.5</v>
      </c>
      <c r="H10" s="67">
        <v>30</v>
      </c>
      <c r="J10" s="3"/>
      <c r="K10" s="21"/>
      <c r="L10" s="21" t="s">
        <v>23</v>
      </c>
      <c r="M10" s="21"/>
      <c r="N10" s="21"/>
      <c r="O10" s="21"/>
      <c r="P10" s="30">
        <f>P4*-0.14</f>
        <v>0</v>
      </c>
      <c r="Q10" s="31"/>
      <c r="R10" s="21"/>
      <c r="S10" s="21">
        <f>P4*0.14</f>
        <v>0</v>
      </c>
      <c r="T10" s="21"/>
      <c r="U10" s="21"/>
      <c r="V10" s="21"/>
      <c r="W10" s="21"/>
      <c r="X10" s="21"/>
      <c r="Y10" s="22"/>
      <c r="Z10" s="25"/>
      <c r="AA10" s="21"/>
      <c r="AB10" s="26"/>
      <c r="AC10" s="21"/>
      <c r="AD10" s="21"/>
    </row>
    <row r="11" spans="2:30" x14ac:dyDescent="0.25">
      <c r="B11" s="40" t="s">
        <v>17</v>
      </c>
      <c r="C11" s="41" t="s">
        <v>10</v>
      </c>
      <c r="D11" s="41" t="s">
        <v>6</v>
      </c>
      <c r="E11" s="18"/>
      <c r="F11" s="42">
        <v>990</v>
      </c>
      <c r="G11" s="42">
        <v>1200</v>
      </c>
      <c r="H11" s="67">
        <v>140</v>
      </c>
      <c r="J11" s="3"/>
      <c r="K11" s="21"/>
      <c r="L11" s="21" t="s">
        <v>24</v>
      </c>
      <c r="M11" s="21"/>
      <c r="N11" s="21"/>
      <c r="O11" s="21"/>
      <c r="P11" s="30">
        <f>100000*-1</f>
        <v>-100000</v>
      </c>
      <c r="Q11" s="31"/>
      <c r="R11" s="21"/>
      <c r="S11" s="24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2:30" x14ac:dyDescent="0.25">
      <c r="B12" s="40" t="s">
        <v>17</v>
      </c>
      <c r="C12" s="41" t="s">
        <v>10</v>
      </c>
      <c r="D12" s="41" t="s">
        <v>7</v>
      </c>
      <c r="E12" s="18"/>
      <c r="F12" s="42">
        <f>1.1*F11</f>
        <v>1089</v>
      </c>
      <c r="G12" s="42">
        <f>1.1*G11</f>
        <v>1320</v>
      </c>
      <c r="H12" s="67">
        <v>110</v>
      </c>
      <c r="J12" s="3"/>
      <c r="K12" s="21"/>
      <c r="L12" s="21" t="s">
        <v>25</v>
      </c>
      <c r="M12" s="21"/>
      <c r="N12" s="21"/>
      <c r="O12" s="21"/>
      <c r="P12" s="30">
        <f>P4*0.2*-1</f>
        <v>0</v>
      </c>
      <c r="Q12" s="31"/>
      <c r="R12" s="21"/>
      <c r="S12" s="21">
        <f>P4*0.3</f>
        <v>0</v>
      </c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2:30" x14ac:dyDescent="0.25">
      <c r="B13" s="40" t="s">
        <v>17</v>
      </c>
      <c r="C13" s="41" t="s">
        <v>10</v>
      </c>
      <c r="D13" s="41" t="s">
        <v>8</v>
      </c>
      <c r="E13" s="18"/>
      <c r="F13" s="42">
        <f>1.15*F12</f>
        <v>1252.3499999999999</v>
      </c>
      <c r="G13" s="42">
        <f>1.15*G12</f>
        <v>1517.9999999999998</v>
      </c>
      <c r="H13" s="67">
        <v>85</v>
      </c>
      <c r="J13" s="3"/>
      <c r="K13" s="22" t="s">
        <v>27</v>
      </c>
      <c r="L13" s="21"/>
      <c r="M13" s="21"/>
      <c r="N13" s="21"/>
      <c r="O13" s="21"/>
      <c r="P13" s="30">
        <f>SUM(P4:P12)</f>
        <v>-400000</v>
      </c>
      <c r="Q13" s="31"/>
      <c r="R13" s="21"/>
      <c r="S13" s="65">
        <f>P4*0.3</f>
        <v>0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2:30" ht="14.4" thickBot="1" x14ac:dyDescent="0.3">
      <c r="B14" s="40" t="s">
        <v>17</v>
      </c>
      <c r="C14" s="41" t="s">
        <v>11</v>
      </c>
      <c r="D14" s="41" t="s">
        <v>6</v>
      </c>
      <c r="E14" s="18"/>
      <c r="F14" s="42">
        <v>800</v>
      </c>
      <c r="G14" s="42">
        <v>1062</v>
      </c>
      <c r="H14" s="67">
        <v>450</v>
      </c>
      <c r="J14" s="33"/>
      <c r="K14" s="34"/>
      <c r="L14" s="34"/>
      <c r="M14" s="34"/>
      <c r="N14" s="34"/>
      <c r="O14" s="34"/>
      <c r="P14" s="35"/>
      <c r="Q14" s="36"/>
    </row>
    <row r="15" spans="2:30" x14ac:dyDescent="0.25">
      <c r="B15" s="40" t="s">
        <v>17</v>
      </c>
      <c r="C15" s="41" t="s">
        <v>11</v>
      </c>
      <c r="D15" s="41" t="s">
        <v>7</v>
      </c>
      <c r="E15" s="18"/>
      <c r="F15" s="42">
        <f>1.1*F14</f>
        <v>880.00000000000011</v>
      </c>
      <c r="G15" s="42">
        <f>1.1*G14</f>
        <v>1168.2</v>
      </c>
      <c r="H15" s="67">
        <v>400</v>
      </c>
    </row>
    <row r="16" spans="2:30" x14ac:dyDescent="0.25">
      <c r="B16" s="40" t="s">
        <v>17</v>
      </c>
      <c r="C16" s="41" t="s">
        <v>11</v>
      </c>
      <c r="D16" s="41" t="s">
        <v>8</v>
      </c>
      <c r="E16" s="18"/>
      <c r="F16" s="42">
        <f>1.15*F15</f>
        <v>1012</v>
      </c>
      <c r="G16" s="42">
        <f>1.15*G15</f>
        <v>1343.4299999999998</v>
      </c>
      <c r="H16" s="67">
        <v>250</v>
      </c>
    </row>
    <row r="17" spans="2:8" x14ac:dyDescent="0.25">
      <c r="B17" s="40" t="s">
        <v>17</v>
      </c>
      <c r="C17" s="41" t="s">
        <v>12</v>
      </c>
      <c r="D17" s="41" t="s">
        <v>6</v>
      </c>
      <c r="E17" s="18"/>
      <c r="F17" s="42">
        <v>632</v>
      </c>
      <c r="G17" s="42">
        <v>826</v>
      </c>
      <c r="H17" s="67">
        <v>60</v>
      </c>
    </row>
    <row r="18" spans="2:8" x14ac:dyDescent="0.25">
      <c r="B18" s="40" t="s">
        <v>17</v>
      </c>
      <c r="C18" s="41" t="s">
        <v>12</v>
      </c>
      <c r="D18" s="41" t="s">
        <v>7</v>
      </c>
      <c r="E18" s="18"/>
      <c r="F18" s="42">
        <v>800</v>
      </c>
      <c r="G18" s="42">
        <v>1062</v>
      </c>
      <c r="H18" s="67">
        <v>40</v>
      </c>
    </row>
    <row r="19" spans="2:8" x14ac:dyDescent="0.25">
      <c r="B19" s="40" t="s">
        <v>17</v>
      </c>
      <c r="C19" s="41" t="s">
        <v>12</v>
      </c>
      <c r="D19" s="41" t="s">
        <v>8</v>
      </c>
      <c r="E19" s="18"/>
      <c r="F19" s="42">
        <f>1.1*F18</f>
        <v>880.00000000000011</v>
      </c>
      <c r="G19" s="42">
        <f>1.1*G18</f>
        <v>1168.2</v>
      </c>
      <c r="H19" s="67">
        <v>25</v>
      </c>
    </row>
    <row r="20" spans="2:8" x14ac:dyDescent="0.25">
      <c r="B20" s="40" t="s">
        <v>17</v>
      </c>
      <c r="C20" s="41" t="s">
        <v>13</v>
      </c>
      <c r="D20" s="41" t="s">
        <v>6</v>
      </c>
      <c r="E20" s="18"/>
      <c r="F20" s="42">
        <v>468</v>
      </c>
      <c r="G20" s="42">
        <v>614</v>
      </c>
      <c r="H20" s="67">
        <v>160</v>
      </c>
    </row>
    <row r="21" spans="2:8" x14ac:dyDescent="0.25">
      <c r="B21" s="40" t="s">
        <v>17</v>
      </c>
      <c r="C21" s="41" t="s">
        <v>13</v>
      </c>
      <c r="D21" s="41" t="s">
        <v>7</v>
      </c>
      <c r="E21" s="18"/>
      <c r="F21" s="42">
        <v>800</v>
      </c>
      <c r="G21" s="42">
        <v>1062</v>
      </c>
      <c r="H21" s="67">
        <v>130</v>
      </c>
    </row>
    <row r="22" spans="2:8" x14ac:dyDescent="0.25">
      <c r="B22" s="40" t="s">
        <v>17</v>
      </c>
      <c r="C22" s="41" t="s">
        <v>13</v>
      </c>
      <c r="D22" s="41" t="s">
        <v>8</v>
      </c>
      <c r="E22" s="18"/>
      <c r="F22" s="42">
        <f>1.1*F21</f>
        <v>880.00000000000011</v>
      </c>
      <c r="G22" s="42">
        <f>1.1*G21</f>
        <v>1168.2</v>
      </c>
      <c r="H22" s="67">
        <v>100</v>
      </c>
    </row>
    <row r="23" spans="2:8" x14ac:dyDescent="0.25">
      <c r="B23" s="40" t="s">
        <v>17</v>
      </c>
      <c r="C23" s="41" t="s">
        <v>14</v>
      </c>
      <c r="D23" s="41" t="s">
        <v>6</v>
      </c>
      <c r="E23" s="18"/>
      <c r="F23" s="42">
        <v>504</v>
      </c>
      <c r="G23" s="42">
        <v>661</v>
      </c>
      <c r="H23" s="67">
        <v>60</v>
      </c>
    </row>
    <row r="24" spans="2:8" x14ac:dyDescent="0.25">
      <c r="B24" s="40" t="s">
        <v>17</v>
      </c>
      <c r="C24" s="41" t="s">
        <v>14</v>
      </c>
      <c r="D24" s="41" t="s">
        <v>7</v>
      </c>
      <c r="E24" s="18"/>
      <c r="F24" s="42">
        <f>F23*1.1</f>
        <v>554.40000000000009</v>
      </c>
      <c r="G24" s="42">
        <f>G23*1.1</f>
        <v>727.1</v>
      </c>
      <c r="H24" s="67">
        <v>25</v>
      </c>
    </row>
    <row r="25" spans="2:8" ht="14.4" thickBot="1" x14ac:dyDescent="0.3">
      <c r="B25" s="43" t="s">
        <v>17</v>
      </c>
      <c r="C25" s="44" t="s">
        <v>14</v>
      </c>
      <c r="D25" s="44" t="s">
        <v>8</v>
      </c>
      <c r="E25" s="19"/>
      <c r="F25" s="45">
        <f>F24*1.1</f>
        <v>609.84000000000015</v>
      </c>
      <c r="G25" s="45">
        <f>G24*1.1</f>
        <v>799.81000000000006</v>
      </c>
      <c r="H25" s="68">
        <v>50</v>
      </c>
    </row>
  </sheetData>
  <mergeCells count="2">
    <mergeCell ref="B2:H3"/>
    <mergeCell ref="J2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96A5-76B9-4C4B-AC4A-ADAB4ADF40C5}">
  <dimension ref="B1:AE25"/>
  <sheetViews>
    <sheetView showGridLines="0" tabSelected="1" workbookViewId="0">
      <selection activeCell="M20" sqref="M20"/>
    </sheetView>
  </sheetViews>
  <sheetFormatPr defaultRowHeight="13.8" x14ac:dyDescent="0.25"/>
  <cols>
    <col min="1" max="1" width="8.88671875" style="2"/>
    <col min="2" max="2" width="13.21875" style="2" bestFit="1" customWidth="1"/>
    <col min="3" max="3" width="10.109375" style="2" bestFit="1" customWidth="1"/>
    <col min="4" max="4" width="8.5546875" style="2" bestFit="1" customWidth="1"/>
    <col min="5" max="5" width="7.88671875" style="2" bestFit="1" customWidth="1"/>
    <col min="6" max="6" width="7.5546875" style="2" bestFit="1" customWidth="1"/>
    <col min="7" max="7" width="7.88671875" style="2" bestFit="1" customWidth="1"/>
    <col min="8" max="8" width="12.77734375" style="2" customWidth="1"/>
    <col min="9" max="9" width="7" style="2" bestFit="1" customWidth="1"/>
    <col min="10" max="11" width="8.88671875" style="2"/>
    <col min="12" max="12" width="1.6640625" style="2" customWidth="1"/>
    <col min="13" max="16" width="8.88671875" style="2"/>
    <col min="17" max="17" width="14.109375" style="20" bestFit="1" customWidth="1"/>
    <col min="18" max="19" width="8.88671875" style="2"/>
    <col min="20" max="22" width="13.109375" style="2" bestFit="1" customWidth="1"/>
    <col min="23" max="23" width="12.33203125" style="2" customWidth="1"/>
    <col min="24" max="25" width="8.88671875" style="2"/>
    <col min="26" max="26" width="25.5546875" style="2" bestFit="1" customWidth="1"/>
    <col min="27" max="27" width="13.6640625" style="2" bestFit="1" customWidth="1"/>
    <col min="28" max="28" width="8.88671875" style="2"/>
    <col min="29" max="29" width="13.109375" style="2" bestFit="1" customWidth="1"/>
    <col min="30" max="16384" width="8.88671875" style="2"/>
  </cols>
  <sheetData>
    <row r="1" spans="2:31" ht="14.4" thickBot="1" x14ac:dyDescent="0.3"/>
    <row r="2" spans="2:31" ht="14.4" customHeight="1" x14ac:dyDescent="0.25">
      <c r="B2" s="12" t="s">
        <v>18</v>
      </c>
      <c r="C2" s="13"/>
      <c r="D2" s="13"/>
      <c r="E2" s="13"/>
      <c r="F2" s="13"/>
      <c r="G2" s="13"/>
      <c r="H2" s="13"/>
      <c r="I2" s="14"/>
      <c r="K2" s="46" t="s">
        <v>28</v>
      </c>
      <c r="L2" s="47"/>
      <c r="M2" s="47"/>
      <c r="N2" s="47"/>
      <c r="O2" s="47"/>
      <c r="P2" s="47"/>
      <c r="Q2" s="47"/>
      <c r="R2" s="48"/>
    </row>
    <row r="3" spans="2:31" ht="15" customHeight="1" thickBot="1" x14ac:dyDescent="0.3">
      <c r="B3" s="15"/>
      <c r="C3" s="16"/>
      <c r="D3" s="16"/>
      <c r="E3" s="16"/>
      <c r="F3" s="16"/>
      <c r="G3" s="16"/>
      <c r="H3" s="16"/>
      <c r="I3" s="17"/>
      <c r="K3" s="49"/>
      <c r="L3" s="50"/>
      <c r="M3" s="50"/>
      <c r="N3" s="50"/>
      <c r="O3" s="50"/>
      <c r="P3" s="50"/>
      <c r="Q3" s="50"/>
      <c r="R3" s="51"/>
    </row>
    <row r="4" spans="2:31" x14ac:dyDescent="0.25">
      <c r="B4" s="4" t="s">
        <v>16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29</v>
      </c>
      <c r="I4" s="62" t="s">
        <v>15</v>
      </c>
      <c r="K4" s="52"/>
      <c r="L4" s="53" t="s">
        <v>19</v>
      </c>
      <c r="M4" s="54"/>
      <c r="N4" s="54"/>
      <c r="O4" s="54"/>
      <c r="P4" s="54"/>
      <c r="Q4" s="55">
        <f>SUMPRODUCT(E5:E25,H5:H25)</f>
        <v>3333333.1523427707</v>
      </c>
      <c r="R4" s="56"/>
      <c r="U4" s="1"/>
    </row>
    <row r="5" spans="2:31" x14ac:dyDescent="0.25">
      <c r="B5" s="6" t="s">
        <v>17</v>
      </c>
      <c r="C5" s="10" t="s">
        <v>5</v>
      </c>
      <c r="D5" s="10" t="s">
        <v>6</v>
      </c>
      <c r="E5" s="18">
        <v>5414.0544724699012</v>
      </c>
      <c r="F5" s="11">
        <v>4000</v>
      </c>
      <c r="G5" s="11">
        <v>6000</v>
      </c>
      <c r="H5" s="11">
        <f>I5*0.95</f>
        <v>47.5</v>
      </c>
      <c r="I5" s="63">
        <v>50</v>
      </c>
      <c r="K5" s="52"/>
      <c r="L5" s="54"/>
      <c r="M5" s="54"/>
      <c r="N5" s="54"/>
      <c r="O5" s="54"/>
      <c r="P5" s="54"/>
      <c r="Q5" s="57"/>
      <c r="R5" s="56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</row>
    <row r="6" spans="2:31" x14ac:dyDescent="0.25">
      <c r="B6" s="6" t="s">
        <v>17</v>
      </c>
      <c r="C6" s="10" t="s">
        <v>5</v>
      </c>
      <c r="D6" s="10" t="s">
        <v>7</v>
      </c>
      <c r="E6" s="18">
        <v>6145.1823512935744</v>
      </c>
      <c r="F6" s="11">
        <f>1.1*F5</f>
        <v>4400</v>
      </c>
      <c r="G6" s="11">
        <f>1.1*G5</f>
        <v>6600.0000000000009</v>
      </c>
      <c r="H6" s="11">
        <f t="shared" ref="H6:H25" si="0">I6*0.95</f>
        <v>38</v>
      </c>
      <c r="I6" s="63">
        <v>40</v>
      </c>
      <c r="K6" s="52"/>
      <c r="L6" s="53" t="s">
        <v>20</v>
      </c>
      <c r="M6" s="54"/>
      <c r="N6" s="54"/>
      <c r="O6" s="54"/>
      <c r="P6" s="54"/>
      <c r="Q6" s="57"/>
      <c r="R6" s="56"/>
      <c r="S6" s="21"/>
      <c r="T6" s="21"/>
      <c r="U6" s="22"/>
      <c r="V6" s="22"/>
      <c r="W6" s="22"/>
      <c r="X6" s="21"/>
      <c r="Y6" s="21"/>
      <c r="Z6" s="22"/>
      <c r="AA6" s="23"/>
      <c r="AB6" s="21"/>
      <c r="AC6" s="21"/>
      <c r="AD6" s="21"/>
      <c r="AE6" s="21"/>
    </row>
    <row r="7" spans="2:31" x14ac:dyDescent="0.25">
      <c r="B7" s="6" t="s">
        <v>17</v>
      </c>
      <c r="C7" s="10" t="s">
        <v>5</v>
      </c>
      <c r="D7" s="10" t="s">
        <v>8</v>
      </c>
      <c r="E7" s="18">
        <v>7462.483524441418</v>
      </c>
      <c r="F7" s="11">
        <f>1.15*F6</f>
        <v>5060</v>
      </c>
      <c r="G7" s="11">
        <f>1.15*G6</f>
        <v>7590.0000000000009</v>
      </c>
      <c r="H7" s="11">
        <f t="shared" si="0"/>
        <v>23.75</v>
      </c>
      <c r="I7" s="63">
        <v>25</v>
      </c>
      <c r="K7" s="52"/>
      <c r="L7" s="54"/>
      <c r="M7" s="54" t="s">
        <v>22</v>
      </c>
      <c r="N7" s="54"/>
      <c r="O7" s="54"/>
      <c r="P7" s="54"/>
      <c r="Q7" s="57">
        <f>Q4*0.09*-1</f>
        <v>-299999.98371084937</v>
      </c>
      <c r="R7" s="56"/>
      <c r="S7" s="21"/>
      <c r="T7" s="21">
        <f>Q4*0.09</f>
        <v>299999.98371084937</v>
      </c>
      <c r="U7" s="24"/>
      <c r="V7" s="24"/>
      <c r="W7" s="24"/>
      <c r="X7" s="21"/>
      <c r="Y7" s="21"/>
      <c r="Z7" s="21"/>
      <c r="AA7" s="23"/>
      <c r="AB7" s="21"/>
      <c r="AC7" s="21"/>
      <c r="AD7" s="21"/>
      <c r="AE7" s="21"/>
    </row>
    <row r="8" spans="2:31" x14ac:dyDescent="0.25">
      <c r="B8" s="6" t="s">
        <v>17</v>
      </c>
      <c r="C8" s="10" t="s">
        <v>9</v>
      </c>
      <c r="D8" s="10" t="s">
        <v>6</v>
      </c>
      <c r="E8" s="18">
        <v>3072.5911756467867</v>
      </c>
      <c r="F8" s="11">
        <v>2500</v>
      </c>
      <c r="G8" s="11">
        <v>3300</v>
      </c>
      <c r="H8" s="11">
        <f t="shared" si="0"/>
        <v>76</v>
      </c>
      <c r="I8" s="63">
        <v>80</v>
      </c>
      <c r="K8" s="52"/>
      <c r="L8" s="54"/>
      <c r="M8" s="54" t="s">
        <v>21</v>
      </c>
      <c r="N8" s="54"/>
      <c r="O8" s="54"/>
      <c r="P8" s="54"/>
      <c r="Q8" s="57">
        <f>Q4*0.15*-1</f>
        <v>-499999.97285141557</v>
      </c>
      <c r="R8" s="56"/>
      <c r="S8" s="21"/>
      <c r="T8" s="21">
        <f>Q4*0.15</f>
        <v>499999.97285141557</v>
      </c>
      <c r="U8" s="21"/>
      <c r="V8" s="21"/>
      <c r="W8" s="21"/>
      <c r="X8" s="21"/>
      <c r="Y8" s="21"/>
      <c r="Z8" s="21"/>
      <c r="AA8" s="23"/>
      <c r="AB8" s="21"/>
      <c r="AC8" s="21"/>
      <c r="AD8" s="21"/>
      <c r="AE8" s="21"/>
    </row>
    <row r="9" spans="2:31" x14ac:dyDescent="0.25">
      <c r="B9" s="6" t="s">
        <v>17</v>
      </c>
      <c r="C9" s="10" t="s">
        <v>9</v>
      </c>
      <c r="D9" s="10" t="s">
        <v>7</v>
      </c>
      <c r="E9" s="18">
        <v>3485.1071501038591</v>
      </c>
      <c r="F9" s="11">
        <f>1.1*F8</f>
        <v>2750</v>
      </c>
      <c r="G9" s="11">
        <f>1.1*G8</f>
        <v>3630.0000000000005</v>
      </c>
      <c r="H9" s="11">
        <f t="shared" si="0"/>
        <v>71.25</v>
      </c>
      <c r="I9" s="63">
        <v>75</v>
      </c>
      <c r="K9" s="52"/>
      <c r="L9" s="54"/>
      <c r="M9" s="54" t="s">
        <v>26</v>
      </c>
      <c r="N9" s="54"/>
      <c r="O9" s="54"/>
      <c r="P9" s="54"/>
      <c r="Q9" s="57">
        <f>1*-300000</f>
        <v>-300000</v>
      </c>
      <c r="R9" s="56"/>
      <c r="S9" s="21"/>
      <c r="T9" s="21"/>
      <c r="U9" s="21"/>
      <c r="V9" s="21"/>
      <c r="W9" s="21"/>
      <c r="X9" s="21"/>
      <c r="Y9" s="21"/>
      <c r="Z9" s="21"/>
      <c r="AA9" s="23"/>
      <c r="AB9" s="21"/>
      <c r="AC9" s="21"/>
      <c r="AD9" s="21"/>
      <c r="AE9" s="21"/>
    </row>
    <row r="10" spans="2:31" x14ac:dyDescent="0.25">
      <c r="B10" s="6" t="s">
        <v>17</v>
      </c>
      <c r="C10" s="10" t="s">
        <v>9</v>
      </c>
      <c r="D10" s="10" t="s">
        <v>8</v>
      </c>
      <c r="E10" s="18">
        <v>4166.3458230384103</v>
      </c>
      <c r="F10" s="11">
        <f>1.15*F9</f>
        <v>3162.4999999999995</v>
      </c>
      <c r="G10" s="11">
        <f>1.15*G9</f>
        <v>4174.5</v>
      </c>
      <c r="H10" s="11">
        <f t="shared" si="0"/>
        <v>28.5</v>
      </c>
      <c r="I10" s="63">
        <v>30</v>
      </c>
      <c r="K10" s="52"/>
      <c r="L10" s="54"/>
      <c r="M10" s="54" t="s">
        <v>23</v>
      </c>
      <c r="N10" s="54"/>
      <c r="O10" s="54"/>
      <c r="P10" s="54"/>
      <c r="Q10" s="57">
        <f>Q4*-0.14</f>
        <v>-466666.64132798795</v>
      </c>
      <c r="R10" s="56"/>
      <c r="S10" s="21"/>
      <c r="T10" s="21">
        <f>Q4*0.14</f>
        <v>466666.64132798795</v>
      </c>
      <c r="U10" s="21"/>
      <c r="V10" s="21"/>
      <c r="W10" s="21"/>
      <c r="X10" s="21"/>
      <c r="Y10" s="21"/>
      <c r="Z10" s="22"/>
      <c r="AA10" s="25"/>
      <c r="AB10" s="21"/>
      <c r="AC10" s="26"/>
      <c r="AD10" s="21"/>
      <c r="AE10" s="21"/>
    </row>
    <row r="11" spans="2:31" x14ac:dyDescent="0.25">
      <c r="B11" s="6" t="s">
        <v>17</v>
      </c>
      <c r="C11" s="10" t="s">
        <v>10</v>
      </c>
      <c r="D11" s="10" t="s">
        <v>6</v>
      </c>
      <c r="E11" s="18">
        <v>1155.6246314651466</v>
      </c>
      <c r="F11" s="11">
        <v>990</v>
      </c>
      <c r="G11" s="11">
        <v>1200</v>
      </c>
      <c r="H11" s="11">
        <f t="shared" si="0"/>
        <v>133</v>
      </c>
      <c r="I11" s="63">
        <v>140</v>
      </c>
      <c r="K11" s="52"/>
      <c r="L11" s="54"/>
      <c r="M11" s="54" t="s">
        <v>24</v>
      </c>
      <c r="N11" s="54"/>
      <c r="O11" s="54"/>
      <c r="P11" s="54"/>
      <c r="Q11" s="57">
        <f>100000*-1</f>
        <v>-100000</v>
      </c>
      <c r="R11" s="56"/>
      <c r="S11" s="21"/>
      <c r="T11" s="24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</row>
    <row r="12" spans="2:31" x14ac:dyDescent="0.25">
      <c r="B12" s="6" t="s">
        <v>17</v>
      </c>
      <c r="C12" s="10" t="s">
        <v>10</v>
      </c>
      <c r="D12" s="10" t="s">
        <v>7</v>
      </c>
      <c r="E12" s="18">
        <v>1320</v>
      </c>
      <c r="F12" s="11">
        <f>1.1*F11</f>
        <v>1089</v>
      </c>
      <c r="G12" s="11">
        <f>1.1*G11</f>
        <v>1320</v>
      </c>
      <c r="H12" s="11">
        <f t="shared" si="0"/>
        <v>104.5</v>
      </c>
      <c r="I12" s="63">
        <v>110</v>
      </c>
      <c r="K12" s="52"/>
      <c r="L12" s="54"/>
      <c r="M12" s="54" t="s">
        <v>25</v>
      </c>
      <c r="N12" s="54"/>
      <c r="O12" s="54"/>
      <c r="P12" s="54"/>
      <c r="Q12" s="57">
        <f>Q4*0.25*-1</f>
        <v>-833333.28808569268</v>
      </c>
      <c r="R12" s="56"/>
      <c r="S12" s="21"/>
      <c r="T12" s="21">
        <f>Q4*0.3</f>
        <v>999999.94570283114</v>
      </c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</row>
    <row r="13" spans="2:31" x14ac:dyDescent="0.25">
      <c r="B13" s="6" t="s">
        <v>17</v>
      </c>
      <c r="C13" s="10" t="s">
        <v>10</v>
      </c>
      <c r="D13" s="10" t="s">
        <v>8</v>
      </c>
      <c r="E13" s="18">
        <v>1517.9999999999998</v>
      </c>
      <c r="F13" s="11">
        <f>1.15*F12</f>
        <v>1252.3499999999999</v>
      </c>
      <c r="G13" s="11">
        <f>1.15*G12</f>
        <v>1517.9999999999998</v>
      </c>
      <c r="H13" s="11">
        <f t="shared" si="0"/>
        <v>80.75</v>
      </c>
      <c r="I13" s="63">
        <v>85</v>
      </c>
      <c r="K13" s="52"/>
      <c r="L13" s="53" t="s">
        <v>27</v>
      </c>
      <c r="M13" s="54"/>
      <c r="N13" s="54"/>
      <c r="O13" s="54"/>
      <c r="P13" s="54"/>
      <c r="Q13" s="57">
        <f>SUM(Q4:Q12)</f>
        <v>833333.26636682532</v>
      </c>
      <c r="R13" s="56"/>
      <c r="S13" s="21"/>
      <c r="T13" s="65">
        <f>Q4*0.25</f>
        <v>833333.28808569268</v>
      </c>
      <c r="U13" s="21">
        <f>T13/Q4</f>
        <v>0.25</v>
      </c>
      <c r="V13" s="21"/>
      <c r="W13" s="21"/>
      <c r="X13" s="21"/>
      <c r="Y13" s="21"/>
      <c r="Z13" s="21"/>
      <c r="AA13" s="21"/>
      <c r="AB13" s="21"/>
      <c r="AC13" s="21"/>
      <c r="AD13" s="21"/>
      <c r="AE13" s="21"/>
    </row>
    <row r="14" spans="2:31" ht="14.4" thickBot="1" x14ac:dyDescent="0.3">
      <c r="B14" s="6" t="s">
        <v>17</v>
      </c>
      <c r="C14" s="10" t="s">
        <v>11</v>
      </c>
      <c r="D14" s="10" t="s">
        <v>6</v>
      </c>
      <c r="E14" s="18">
        <v>1062</v>
      </c>
      <c r="F14" s="11">
        <v>800</v>
      </c>
      <c r="G14" s="11">
        <v>1062</v>
      </c>
      <c r="H14" s="11">
        <f t="shared" si="0"/>
        <v>427.5</v>
      </c>
      <c r="I14" s="63">
        <v>450</v>
      </c>
      <c r="K14" s="58"/>
      <c r="L14" s="59"/>
      <c r="M14" s="59"/>
      <c r="N14" s="59"/>
      <c r="O14" s="59"/>
      <c r="P14" s="59"/>
      <c r="Q14" s="60"/>
      <c r="R14" s="61"/>
    </row>
    <row r="15" spans="2:31" x14ac:dyDescent="0.25">
      <c r="B15" s="6" t="s">
        <v>17</v>
      </c>
      <c r="C15" s="10" t="s">
        <v>11</v>
      </c>
      <c r="D15" s="10" t="s">
        <v>7</v>
      </c>
      <c r="E15" s="18">
        <v>915.69479956274506</v>
      </c>
      <c r="F15" s="11">
        <f>1.1*F14</f>
        <v>880.00000000000011</v>
      </c>
      <c r="G15" s="11">
        <f>1.1*G14</f>
        <v>1168.2</v>
      </c>
      <c r="H15" s="11">
        <f t="shared" si="0"/>
        <v>380</v>
      </c>
      <c r="I15" s="63">
        <v>400</v>
      </c>
    </row>
    <row r="16" spans="2:31" x14ac:dyDescent="0.25">
      <c r="B16" s="6" t="s">
        <v>17</v>
      </c>
      <c r="C16" s="10" t="s">
        <v>11</v>
      </c>
      <c r="D16" s="10" t="s">
        <v>8</v>
      </c>
      <c r="E16" s="18">
        <v>1301.9538624289021</v>
      </c>
      <c r="F16" s="11">
        <f>1.15*F15</f>
        <v>1012</v>
      </c>
      <c r="G16" s="11">
        <f>1.15*G15</f>
        <v>1343.4299999999998</v>
      </c>
      <c r="H16" s="11">
        <f t="shared" si="0"/>
        <v>237.5</v>
      </c>
      <c r="I16" s="63">
        <v>250</v>
      </c>
    </row>
    <row r="17" spans="2:9" x14ac:dyDescent="0.25">
      <c r="B17" s="6" t="s">
        <v>17</v>
      </c>
      <c r="C17" s="10" t="s">
        <v>12</v>
      </c>
      <c r="D17" s="10" t="s">
        <v>6</v>
      </c>
      <c r="E17" s="18">
        <v>809.32614109647045</v>
      </c>
      <c r="F17" s="11">
        <v>632</v>
      </c>
      <c r="G17" s="11">
        <v>826</v>
      </c>
      <c r="H17" s="11">
        <f t="shared" si="0"/>
        <v>57</v>
      </c>
      <c r="I17" s="63">
        <v>60</v>
      </c>
    </row>
    <row r="18" spans="2:9" x14ac:dyDescent="0.25">
      <c r="B18" s="6" t="s">
        <v>17</v>
      </c>
      <c r="C18" s="10" t="s">
        <v>12</v>
      </c>
      <c r="D18" s="10" t="s">
        <v>7</v>
      </c>
      <c r="E18" s="18">
        <v>1062</v>
      </c>
      <c r="F18" s="11">
        <v>800</v>
      </c>
      <c r="G18" s="11">
        <v>1062</v>
      </c>
      <c r="H18" s="11">
        <f t="shared" si="0"/>
        <v>38</v>
      </c>
      <c r="I18" s="63">
        <v>40</v>
      </c>
    </row>
    <row r="19" spans="2:9" x14ac:dyDescent="0.25">
      <c r="B19" s="6" t="s">
        <v>17</v>
      </c>
      <c r="C19" s="10" t="s">
        <v>12</v>
      </c>
      <c r="D19" s="10" t="s">
        <v>8</v>
      </c>
      <c r="E19" s="18">
        <v>1165.0480972083255</v>
      </c>
      <c r="F19" s="11">
        <f>1.1*F18</f>
        <v>880.00000000000011</v>
      </c>
      <c r="G19" s="11">
        <f>1.1*G18</f>
        <v>1168.2</v>
      </c>
      <c r="H19" s="11">
        <f t="shared" si="0"/>
        <v>23.75</v>
      </c>
      <c r="I19" s="63">
        <v>25</v>
      </c>
    </row>
    <row r="20" spans="2:9" x14ac:dyDescent="0.25">
      <c r="B20" s="6" t="s">
        <v>17</v>
      </c>
      <c r="C20" s="10" t="s">
        <v>13</v>
      </c>
      <c r="D20" s="10" t="s">
        <v>6</v>
      </c>
      <c r="E20" s="18">
        <v>603.31538533541607</v>
      </c>
      <c r="F20" s="11">
        <v>468</v>
      </c>
      <c r="G20" s="11">
        <v>614</v>
      </c>
      <c r="H20" s="11">
        <f t="shared" si="0"/>
        <v>152</v>
      </c>
      <c r="I20" s="63">
        <v>160</v>
      </c>
    </row>
    <row r="21" spans="2:9" x14ac:dyDescent="0.25">
      <c r="B21" s="6" t="s">
        <v>17</v>
      </c>
      <c r="C21" s="10" t="s">
        <v>13</v>
      </c>
      <c r="D21" s="10" t="s">
        <v>7</v>
      </c>
      <c r="E21" s="18">
        <v>1062</v>
      </c>
      <c r="F21" s="11">
        <v>800</v>
      </c>
      <c r="G21" s="11">
        <v>1062</v>
      </c>
      <c r="H21" s="11">
        <f t="shared" si="0"/>
        <v>123.5</v>
      </c>
      <c r="I21" s="63">
        <v>130</v>
      </c>
    </row>
    <row r="22" spans="2:9" x14ac:dyDescent="0.25">
      <c r="B22" s="6" t="s">
        <v>17</v>
      </c>
      <c r="C22" s="10" t="s">
        <v>13</v>
      </c>
      <c r="D22" s="10" t="s">
        <v>8</v>
      </c>
      <c r="E22" s="18">
        <v>1155.5923888333016</v>
      </c>
      <c r="F22" s="11">
        <f>1.1*F21</f>
        <v>880.00000000000011</v>
      </c>
      <c r="G22" s="11">
        <f>1.1*G21</f>
        <v>1168.2</v>
      </c>
      <c r="H22" s="11">
        <f t="shared" si="0"/>
        <v>95</v>
      </c>
      <c r="I22" s="63">
        <v>100</v>
      </c>
    </row>
    <row r="23" spans="2:9" x14ac:dyDescent="0.25">
      <c r="B23" s="6" t="s">
        <v>17</v>
      </c>
      <c r="C23" s="10" t="s">
        <v>14</v>
      </c>
      <c r="D23" s="10" t="s">
        <v>6</v>
      </c>
      <c r="E23" s="18">
        <v>658.15729843245379</v>
      </c>
      <c r="F23" s="11">
        <v>504</v>
      </c>
      <c r="G23" s="11">
        <v>661</v>
      </c>
      <c r="H23" s="11">
        <f t="shared" si="0"/>
        <v>57</v>
      </c>
      <c r="I23" s="63">
        <v>60</v>
      </c>
    </row>
    <row r="24" spans="2:9" x14ac:dyDescent="0.25">
      <c r="B24" s="6" t="s">
        <v>17</v>
      </c>
      <c r="C24" s="10" t="s">
        <v>14</v>
      </c>
      <c r="D24" s="10" t="s">
        <v>7</v>
      </c>
      <c r="E24" s="18">
        <v>724.64922565131099</v>
      </c>
      <c r="F24" s="11">
        <f>F23*1.1</f>
        <v>554.40000000000009</v>
      </c>
      <c r="G24" s="11">
        <f>G23*1.1</f>
        <v>727.1</v>
      </c>
      <c r="H24" s="11">
        <f t="shared" si="0"/>
        <v>23.75</v>
      </c>
      <c r="I24" s="63">
        <v>25</v>
      </c>
    </row>
    <row r="25" spans="2:9" ht="14.4" thickBot="1" x14ac:dyDescent="0.3">
      <c r="B25" s="7" t="s">
        <v>17</v>
      </c>
      <c r="C25" s="8" t="s">
        <v>14</v>
      </c>
      <c r="D25" s="8" t="s">
        <v>8</v>
      </c>
      <c r="E25" s="19">
        <v>798.27909407108405</v>
      </c>
      <c r="F25" s="9">
        <f>F24*1.1</f>
        <v>609.84000000000015</v>
      </c>
      <c r="G25" s="9">
        <f>G24*1.1</f>
        <v>799.81000000000006</v>
      </c>
      <c r="H25" s="9">
        <f t="shared" si="0"/>
        <v>47.5</v>
      </c>
      <c r="I25" s="64">
        <v>50</v>
      </c>
    </row>
  </sheetData>
  <mergeCells count="2">
    <mergeCell ref="B2:I3"/>
    <mergeCell ref="K2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B673-37AA-4E03-9261-D64CCEB30366}">
  <dimension ref="B1:AD25"/>
  <sheetViews>
    <sheetView showGridLines="0" workbookViewId="0">
      <selection activeCell="M26" sqref="M26"/>
    </sheetView>
  </sheetViews>
  <sheetFormatPr defaultRowHeight="13.8" x14ac:dyDescent="0.25"/>
  <cols>
    <col min="1" max="1" width="8.88671875" style="2"/>
    <col min="2" max="2" width="13.21875" style="2" bestFit="1" customWidth="1"/>
    <col min="3" max="3" width="10.109375" style="2" bestFit="1" customWidth="1"/>
    <col min="4" max="4" width="8.5546875" style="2" bestFit="1" customWidth="1"/>
    <col min="5" max="5" width="7.88671875" style="2" bestFit="1" customWidth="1"/>
    <col min="6" max="6" width="7.5546875" style="2" bestFit="1" customWidth="1"/>
    <col min="7" max="7" width="7.88671875" style="2" bestFit="1" customWidth="1"/>
    <col min="8" max="8" width="7" style="2" bestFit="1" customWidth="1"/>
    <col min="9" max="10" width="8.88671875" style="2"/>
    <col min="11" max="11" width="1.6640625" style="2" customWidth="1"/>
    <col min="12" max="15" width="8.88671875" style="2"/>
    <col min="16" max="16" width="14.109375" style="20" bestFit="1" customWidth="1"/>
    <col min="17" max="18" width="8.88671875" style="2"/>
    <col min="19" max="21" width="13.109375" style="2" bestFit="1" customWidth="1"/>
    <col min="22" max="22" width="12.33203125" style="2" customWidth="1"/>
    <col min="23" max="24" width="8.88671875" style="2"/>
    <col min="25" max="25" width="25.5546875" style="2" bestFit="1" customWidth="1"/>
    <col min="26" max="26" width="13.6640625" style="2" bestFit="1" customWidth="1"/>
    <col min="27" max="27" width="8.88671875" style="2"/>
    <col min="28" max="28" width="13.109375" style="2" bestFit="1" customWidth="1"/>
    <col min="29" max="16384" width="8.88671875" style="2"/>
  </cols>
  <sheetData>
    <row r="1" spans="2:30" ht="14.4" thickBot="1" x14ac:dyDescent="0.3"/>
    <row r="2" spans="2:30" ht="14.4" customHeight="1" x14ac:dyDescent="0.25">
      <c r="B2" s="12" t="s">
        <v>18</v>
      </c>
      <c r="C2" s="13"/>
      <c r="D2" s="13"/>
      <c r="E2" s="13"/>
      <c r="F2" s="13"/>
      <c r="G2" s="13"/>
      <c r="H2" s="14"/>
      <c r="J2" s="46" t="s">
        <v>28</v>
      </c>
      <c r="K2" s="47"/>
      <c r="L2" s="47"/>
      <c r="M2" s="47"/>
      <c r="N2" s="47"/>
      <c r="O2" s="47"/>
      <c r="P2" s="47"/>
      <c r="Q2" s="48"/>
    </row>
    <row r="3" spans="2:30" ht="15" customHeight="1" thickBot="1" x14ac:dyDescent="0.3">
      <c r="B3" s="15"/>
      <c r="C3" s="16"/>
      <c r="D3" s="16"/>
      <c r="E3" s="16"/>
      <c r="F3" s="16"/>
      <c r="G3" s="16"/>
      <c r="H3" s="17"/>
      <c r="J3" s="49"/>
      <c r="K3" s="50"/>
      <c r="L3" s="50"/>
      <c r="M3" s="50"/>
      <c r="N3" s="50"/>
      <c r="O3" s="50"/>
      <c r="P3" s="50"/>
      <c r="Q3" s="51"/>
    </row>
    <row r="4" spans="2:30" x14ac:dyDescent="0.25">
      <c r="B4" s="4" t="s">
        <v>16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62" t="s">
        <v>15</v>
      </c>
      <c r="J4" s="52"/>
      <c r="K4" s="53" t="s">
        <v>19</v>
      </c>
      <c r="L4" s="54"/>
      <c r="M4" s="54"/>
      <c r="N4" s="54"/>
      <c r="O4" s="54"/>
      <c r="P4" s="55">
        <f>SUMPRODUCT(E5:E25,H5:H25)</f>
        <v>3333332.9602312343</v>
      </c>
      <c r="Q4" s="56"/>
      <c r="T4" s="1"/>
    </row>
    <row r="5" spans="2:30" x14ac:dyDescent="0.25">
      <c r="B5" s="6" t="s">
        <v>17</v>
      </c>
      <c r="C5" s="10" t="s">
        <v>5</v>
      </c>
      <c r="D5" s="10" t="s">
        <v>6</v>
      </c>
      <c r="E5" s="18">
        <v>4571.3969901896535</v>
      </c>
      <c r="F5" s="11">
        <v>4000</v>
      </c>
      <c r="G5" s="11">
        <v>6000</v>
      </c>
      <c r="H5" s="63">
        <v>50</v>
      </c>
      <c r="J5" s="52"/>
      <c r="K5" s="54"/>
      <c r="L5" s="54"/>
      <c r="M5" s="54"/>
      <c r="N5" s="54"/>
      <c r="O5" s="54"/>
      <c r="P5" s="57"/>
      <c r="Q5" s="56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2:30" x14ac:dyDescent="0.25">
      <c r="B6" s="6" t="s">
        <v>17</v>
      </c>
      <c r="C6" s="10" t="s">
        <v>5</v>
      </c>
      <c r="D6" s="10" t="s">
        <v>7</v>
      </c>
      <c r="E6" s="18">
        <v>5933.4799614630847</v>
      </c>
      <c r="F6" s="11">
        <f>1.1*F5</f>
        <v>4400</v>
      </c>
      <c r="G6" s="11">
        <f>1.1*G5</f>
        <v>6600.0000000000009</v>
      </c>
      <c r="H6" s="63">
        <v>40</v>
      </c>
      <c r="J6" s="52"/>
      <c r="K6" s="53" t="s">
        <v>20</v>
      </c>
      <c r="L6" s="54"/>
      <c r="M6" s="54"/>
      <c r="N6" s="54"/>
      <c r="O6" s="54"/>
      <c r="P6" s="57"/>
      <c r="Q6" s="56"/>
      <c r="R6" s="21"/>
      <c r="S6" s="21"/>
      <c r="T6" s="22"/>
      <c r="U6" s="22"/>
      <c r="V6" s="22"/>
      <c r="W6" s="21"/>
      <c r="X6" s="21"/>
      <c r="Y6" s="22"/>
      <c r="Z6" s="23"/>
      <c r="AA6" s="21"/>
      <c r="AB6" s="21"/>
      <c r="AC6" s="21"/>
      <c r="AD6" s="21"/>
    </row>
    <row r="7" spans="2:30" x14ac:dyDescent="0.25">
      <c r="B7" s="6" t="s">
        <v>17</v>
      </c>
      <c r="C7" s="10" t="s">
        <v>5</v>
      </c>
      <c r="D7" s="10" t="s">
        <v>8</v>
      </c>
      <c r="E7" s="18">
        <v>6363.8942952834186</v>
      </c>
      <c r="F7" s="11">
        <f>1.15*F6</f>
        <v>5060</v>
      </c>
      <c r="G7" s="11">
        <f>1.15*G6</f>
        <v>7590.0000000000009</v>
      </c>
      <c r="H7" s="63">
        <v>25</v>
      </c>
      <c r="J7" s="52"/>
      <c r="K7" s="54"/>
      <c r="L7" s="54" t="s">
        <v>22</v>
      </c>
      <c r="M7" s="54"/>
      <c r="N7" s="54"/>
      <c r="O7" s="54"/>
      <c r="P7" s="57">
        <f>P4*0.09*-1</f>
        <v>-299999.96642081108</v>
      </c>
      <c r="Q7" s="56"/>
      <c r="R7" s="21"/>
      <c r="S7" s="21">
        <f>P4*0.09</f>
        <v>299999.96642081108</v>
      </c>
      <c r="T7" s="24"/>
      <c r="U7" s="24"/>
      <c r="V7" s="24"/>
      <c r="W7" s="21"/>
      <c r="X7" s="21"/>
      <c r="Y7" s="21"/>
      <c r="Z7" s="23"/>
      <c r="AA7" s="21"/>
      <c r="AB7" s="21"/>
      <c r="AC7" s="21"/>
      <c r="AD7" s="21"/>
    </row>
    <row r="8" spans="2:30" x14ac:dyDescent="0.25">
      <c r="B8" s="6" t="s">
        <v>17</v>
      </c>
      <c r="C8" s="10" t="s">
        <v>9</v>
      </c>
      <c r="D8" s="10" t="s">
        <v>6</v>
      </c>
      <c r="E8" s="18">
        <v>2966.7399807315423</v>
      </c>
      <c r="F8" s="11">
        <v>2500</v>
      </c>
      <c r="G8" s="11">
        <v>3300</v>
      </c>
      <c r="H8" s="63">
        <v>80</v>
      </c>
      <c r="J8" s="52"/>
      <c r="K8" s="54"/>
      <c r="L8" s="54" t="s">
        <v>21</v>
      </c>
      <c r="M8" s="54"/>
      <c r="N8" s="54"/>
      <c r="O8" s="54"/>
      <c r="P8" s="57">
        <f>P4*0.15*-1</f>
        <v>-499999.94403468515</v>
      </c>
      <c r="Q8" s="56"/>
      <c r="R8" s="21"/>
      <c r="S8" s="21">
        <f>P4*0.15</f>
        <v>499999.94403468515</v>
      </c>
      <c r="T8" s="21"/>
      <c r="U8" s="21"/>
      <c r="V8" s="21"/>
      <c r="W8" s="21"/>
      <c r="X8" s="21"/>
      <c r="Y8" s="21"/>
      <c r="Z8" s="23"/>
      <c r="AA8" s="21"/>
      <c r="AB8" s="21"/>
      <c r="AC8" s="21"/>
      <c r="AD8" s="21"/>
    </row>
    <row r="9" spans="2:30" x14ac:dyDescent="0.25">
      <c r="B9" s="6" t="s">
        <v>17</v>
      </c>
      <c r="C9" s="10" t="s">
        <v>9</v>
      </c>
      <c r="D9" s="10" t="s">
        <v>7</v>
      </c>
      <c r="E9" s="18">
        <v>3630.0000000000005</v>
      </c>
      <c r="F9" s="11">
        <f>1.1*F8</f>
        <v>2750</v>
      </c>
      <c r="G9" s="11">
        <f>1.1*G8</f>
        <v>3630.0000000000005</v>
      </c>
      <c r="H9" s="63">
        <v>75</v>
      </c>
      <c r="J9" s="52"/>
      <c r="K9" s="54"/>
      <c r="L9" s="54" t="s">
        <v>26</v>
      </c>
      <c r="M9" s="54"/>
      <c r="N9" s="54"/>
      <c r="O9" s="54"/>
      <c r="P9" s="57">
        <f>1*-300000</f>
        <v>-300000</v>
      </c>
      <c r="Q9" s="56"/>
      <c r="R9" s="21"/>
      <c r="S9" s="21"/>
      <c r="T9" s="21"/>
      <c r="U9" s="21"/>
      <c r="V9" s="21"/>
      <c r="W9" s="21"/>
      <c r="X9" s="21"/>
      <c r="Y9" s="21"/>
      <c r="Z9" s="23"/>
      <c r="AA9" s="21"/>
      <c r="AB9" s="21"/>
      <c r="AC9" s="21"/>
      <c r="AD9" s="21"/>
    </row>
    <row r="10" spans="2:30" x14ac:dyDescent="0.25">
      <c r="B10" s="6" t="s">
        <v>17</v>
      </c>
      <c r="C10" s="10" t="s">
        <v>9</v>
      </c>
      <c r="D10" s="10" t="s">
        <v>8</v>
      </c>
      <c r="E10" s="18">
        <v>3851.4225571886859</v>
      </c>
      <c r="F10" s="11">
        <f>1.15*F9</f>
        <v>3162.4999999999995</v>
      </c>
      <c r="G10" s="11">
        <f>1.15*G9</f>
        <v>4174.5</v>
      </c>
      <c r="H10" s="63">
        <v>30</v>
      </c>
      <c r="J10" s="52"/>
      <c r="K10" s="54"/>
      <c r="L10" s="54" t="s">
        <v>23</v>
      </c>
      <c r="M10" s="54"/>
      <c r="N10" s="54"/>
      <c r="O10" s="54"/>
      <c r="P10" s="57">
        <f>P4*-0.14</f>
        <v>-466666.61443237285</v>
      </c>
      <c r="Q10" s="56"/>
      <c r="R10" s="21"/>
      <c r="S10" s="21">
        <f>P4*0.14</f>
        <v>466666.61443237285</v>
      </c>
      <c r="T10" s="21"/>
      <c r="U10" s="21"/>
      <c r="V10" s="21"/>
      <c r="W10" s="21"/>
      <c r="X10" s="21"/>
      <c r="Y10" s="22"/>
      <c r="Z10" s="25"/>
      <c r="AA10" s="21"/>
      <c r="AB10" s="26"/>
      <c r="AC10" s="21"/>
      <c r="AD10" s="21"/>
    </row>
    <row r="11" spans="2:30" x14ac:dyDescent="0.25">
      <c r="B11" s="6" t="s">
        <v>17</v>
      </c>
      <c r="C11" s="10" t="s">
        <v>10</v>
      </c>
      <c r="D11" s="10" t="s">
        <v>6</v>
      </c>
      <c r="E11" s="18">
        <v>1020.067092760786</v>
      </c>
      <c r="F11" s="11">
        <v>990</v>
      </c>
      <c r="G11" s="11">
        <v>1200</v>
      </c>
      <c r="H11" s="63">
        <v>140</v>
      </c>
      <c r="J11" s="52"/>
      <c r="K11" s="54"/>
      <c r="L11" s="54" t="s">
        <v>24</v>
      </c>
      <c r="M11" s="54"/>
      <c r="N11" s="54"/>
      <c r="O11" s="54"/>
      <c r="P11" s="57">
        <f>100000*-1</f>
        <v>-100000</v>
      </c>
      <c r="Q11" s="56"/>
      <c r="R11" s="21"/>
      <c r="S11" s="24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spans="2:30" x14ac:dyDescent="0.25">
      <c r="B12" s="6" t="s">
        <v>17</v>
      </c>
      <c r="C12" s="10" t="s">
        <v>10</v>
      </c>
      <c r="D12" s="10" t="s">
        <v>7</v>
      </c>
      <c r="E12" s="18">
        <v>1244.3795992241523</v>
      </c>
      <c r="F12" s="11">
        <f>1.1*F11</f>
        <v>1089</v>
      </c>
      <c r="G12" s="11">
        <f>1.1*G11</f>
        <v>1320</v>
      </c>
      <c r="H12" s="63">
        <v>110</v>
      </c>
      <c r="J12" s="52"/>
      <c r="K12" s="54"/>
      <c r="L12" s="54" t="s">
        <v>25</v>
      </c>
      <c r="M12" s="54"/>
      <c r="N12" s="54"/>
      <c r="O12" s="54"/>
      <c r="P12" s="57">
        <f>P4*0.25*-1</f>
        <v>-833333.24005780858</v>
      </c>
      <c r="Q12" s="56"/>
      <c r="R12" s="21"/>
      <c r="S12" s="21">
        <f>P4*0.3</f>
        <v>999999.8880693703</v>
      </c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spans="2:30" x14ac:dyDescent="0.25">
      <c r="B13" s="6" t="s">
        <v>17</v>
      </c>
      <c r="C13" s="10" t="s">
        <v>10</v>
      </c>
      <c r="D13" s="10" t="s">
        <v>8</v>
      </c>
      <c r="E13" s="18">
        <v>1450.2430059712121</v>
      </c>
      <c r="F13" s="11">
        <f>1.15*F12</f>
        <v>1252.3499999999999</v>
      </c>
      <c r="G13" s="11">
        <f>1.15*G12</f>
        <v>1517.9999999999998</v>
      </c>
      <c r="H13" s="63">
        <v>85</v>
      </c>
      <c r="J13" s="52"/>
      <c r="K13" s="53" t="s">
        <v>27</v>
      </c>
      <c r="L13" s="54"/>
      <c r="M13" s="54"/>
      <c r="N13" s="54"/>
      <c r="O13" s="54"/>
      <c r="P13" s="57">
        <f>SUM(P4:P12)</f>
        <v>833333.19528555684</v>
      </c>
      <c r="Q13" s="56"/>
      <c r="R13" s="21"/>
      <c r="S13" s="65">
        <f>P4*0.25</f>
        <v>833333.24005780858</v>
      </c>
      <c r="T13" s="21">
        <f>S13/P4</f>
        <v>0.25</v>
      </c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spans="2:30" ht="14.4" thickBot="1" x14ac:dyDescent="0.3">
      <c r="B14" s="6" t="s">
        <v>17</v>
      </c>
      <c r="C14" s="10" t="s">
        <v>11</v>
      </c>
      <c r="D14" s="10" t="s">
        <v>6</v>
      </c>
      <c r="E14" s="18">
        <v>1062</v>
      </c>
      <c r="F14" s="11">
        <v>800</v>
      </c>
      <c r="G14" s="11">
        <v>1062</v>
      </c>
      <c r="H14" s="63">
        <v>450</v>
      </c>
      <c r="J14" s="58"/>
      <c r="K14" s="59"/>
      <c r="L14" s="59"/>
      <c r="M14" s="59"/>
      <c r="N14" s="59"/>
      <c r="O14" s="59"/>
      <c r="P14" s="60"/>
      <c r="Q14" s="61"/>
    </row>
    <row r="15" spans="2:30" x14ac:dyDescent="0.25">
      <c r="B15" s="6" t="s">
        <v>17</v>
      </c>
      <c r="C15" s="10" t="s">
        <v>11</v>
      </c>
      <c r="D15" s="10" t="s">
        <v>7</v>
      </c>
      <c r="E15" s="18">
        <v>983.68610826204883</v>
      </c>
      <c r="F15" s="11">
        <f>1.1*F14</f>
        <v>880.00000000000011</v>
      </c>
      <c r="G15" s="11">
        <f>1.1*G14</f>
        <v>1168.2</v>
      </c>
      <c r="H15" s="63">
        <v>400</v>
      </c>
    </row>
    <row r="16" spans="2:30" x14ac:dyDescent="0.25">
      <c r="B16" s="6" t="s">
        <v>17</v>
      </c>
      <c r="C16" s="10" t="s">
        <v>11</v>
      </c>
      <c r="D16" s="10" t="s">
        <v>8</v>
      </c>
      <c r="E16" s="18">
        <v>1012</v>
      </c>
      <c r="F16" s="11">
        <f>1.15*F15</f>
        <v>1012</v>
      </c>
      <c r="G16" s="11">
        <f>1.15*G15</f>
        <v>1343.4299999999998</v>
      </c>
      <c r="H16" s="63">
        <v>250</v>
      </c>
    </row>
    <row r="17" spans="2:8" x14ac:dyDescent="0.25">
      <c r="B17" s="6" t="s">
        <v>17</v>
      </c>
      <c r="C17" s="10" t="s">
        <v>12</v>
      </c>
      <c r="D17" s="10" t="s">
        <v>6</v>
      </c>
      <c r="E17" s="18">
        <v>776.48530560937957</v>
      </c>
      <c r="F17" s="11">
        <v>632</v>
      </c>
      <c r="G17" s="11">
        <v>826</v>
      </c>
      <c r="H17" s="63">
        <v>60</v>
      </c>
    </row>
    <row r="18" spans="2:8" x14ac:dyDescent="0.25">
      <c r="B18" s="6" t="s">
        <v>17</v>
      </c>
      <c r="C18" s="10" t="s">
        <v>12</v>
      </c>
      <c r="D18" s="10" t="s">
        <v>7</v>
      </c>
      <c r="E18" s="18">
        <v>1023.167297516597</v>
      </c>
      <c r="F18" s="11">
        <v>800</v>
      </c>
      <c r="G18" s="11">
        <v>1062</v>
      </c>
      <c r="H18" s="63">
        <v>40</v>
      </c>
    </row>
    <row r="19" spans="2:8" x14ac:dyDescent="0.25">
      <c r="B19" s="6" t="s">
        <v>17</v>
      </c>
      <c r="C19" s="10" t="s">
        <v>12</v>
      </c>
      <c r="D19" s="10" t="s">
        <v>8</v>
      </c>
      <c r="E19" s="18">
        <v>1168.2</v>
      </c>
      <c r="F19" s="11">
        <f>1.1*F18</f>
        <v>880.00000000000011</v>
      </c>
      <c r="G19" s="11">
        <f>1.1*G18</f>
        <v>1168.2</v>
      </c>
      <c r="H19" s="63">
        <v>25</v>
      </c>
    </row>
    <row r="20" spans="2:8" x14ac:dyDescent="0.25">
      <c r="B20" s="6" t="s">
        <v>17</v>
      </c>
      <c r="C20" s="10" t="s">
        <v>13</v>
      </c>
      <c r="D20" s="10" t="s">
        <v>6</v>
      </c>
      <c r="E20" s="18">
        <v>586.68627627297087</v>
      </c>
      <c r="F20" s="11">
        <v>468</v>
      </c>
      <c r="G20" s="11">
        <v>614</v>
      </c>
      <c r="H20" s="63">
        <v>160</v>
      </c>
    </row>
    <row r="21" spans="2:8" x14ac:dyDescent="0.25">
      <c r="B21" s="6" t="s">
        <v>17</v>
      </c>
      <c r="C21" s="10" t="s">
        <v>13</v>
      </c>
      <c r="D21" s="10" t="s">
        <v>7</v>
      </c>
      <c r="E21" s="18">
        <v>1062</v>
      </c>
      <c r="F21" s="11">
        <v>800</v>
      </c>
      <c r="G21" s="11">
        <v>1062</v>
      </c>
      <c r="H21" s="63">
        <v>130</v>
      </c>
    </row>
    <row r="22" spans="2:8" x14ac:dyDescent="0.25">
      <c r="B22" s="6" t="s">
        <v>17</v>
      </c>
      <c r="C22" s="10" t="s">
        <v>13</v>
      </c>
      <c r="D22" s="10" t="s">
        <v>8</v>
      </c>
      <c r="E22" s="18">
        <v>1107.2398637045208</v>
      </c>
      <c r="F22" s="11">
        <f>1.1*F21</f>
        <v>880.00000000000011</v>
      </c>
      <c r="G22" s="11">
        <f>1.1*G21</f>
        <v>1168.2</v>
      </c>
      <c r="H22" s="63">
        <v>100</v>
      </c>
    </row>
    <row r="23" spans="2:8" x14ac:dyDescent="0.25">
      <c r="B23" s="6" t="s">
        <v>17</v>
      </c>
      <c r="C23" s="10" t="s">
        <v>14</v>
      </c>
      <c r="D23" s="10" t="s">
        <v>6</v>
      </c>
      <c r="E23" s="18">
        <v>655.90761186615225</v>
      </c>
      <c r="F23" s="11">
        <v>504</v>
      </c>
      <c r="G23" s="11">
        <v>661</v>
      </c>
      <c r="H23" s="63">
        <v>60</v>
      </c>
    </row>
    <row r="24" spans="2:8" x14ac:dyDescent="0.25">
      <c r="B24" s="6" t="s">
        <v>17</v>
      </c>
      <c r="C24" s="10" t="s">
        <v>14</v>
      </c>
      <c r="D24" s="10" t="s">
        <v>7</v>
      </c>
      <c r="E24" s="18">
        <v>720.17105098013508</v>
      </c>
      <c r="F24" s="11">
        <f>F23*1.1</f>
        <v>554.40000000000009</v>
      </c>
      <c r="G24" s="11">
        <f>G23*1.1</f>
        <v>727.1</v>
      </c>
      <c r="H24" s="63">
        <v>25</v>
      </c>
    </row>
    <row r="25" spans="2:8" ht="14.4" thickBot="1" x14ac:dyDescent="0.3">
      <c r="B25" s="7" t="s">
        <v>17</v>
      </c>
      <c r="C25" s="8" t="s">
        <v>14</v>
      </c>
      <c r="D25" s="8" t="s">
        <v>8</v>
      </c>
      <c r="E25" s="19">
        <v>782.50196391185909</v>
      </c>
      <c r="F25" s="9">
        <f>F24*1.1</f>
        <v>609.84000000000015</v>
      </c>
      <c r="G25" s="9">
        <f>G24*1.1</f>
        <v>799.81000000000006</v>
      </c>
      <c r="H25" s="64">
        <v>50</v>
      </c>
    </row>
  </sheetData>
  <mergeCells count="2">
    <mergeCell ref="B2:H3"/>
    <mergeCell ref="J2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</vt:lpstr>
      <vt:lpstr>Model</vt:lpstr>
      <vt:lpstr>90% Cabin Factor</vt:lpstr>
      <vt:lpstr>100% Cabin Factor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Elahi, Md Fozley</dc:creator>
  <cp:lastModifiedBy>Elahi, Md Fozley</cp:lastModifiedBy>
  <dcterms:created xsi:type="dcterms:W3CDTF">2015-06-05T18:17:20Z</dcterms:created>
  <dcterms:modified xsi:type="dcterms:W3CDTF">2026-04-30T22:58:41Z</dcterms:modified>
</cp:coreProperties>
</file>